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H50" i="1"/>
  <c r="I50" i="1"/>
  <c r="J50" i="1"/>
  <c r="F50" i="1"/>
  <c r="J49" i="1"/>
  <c r="I49" i="1"/>
  <c r="H49" i="1"/>
  <c r="G49" i="1"/>
  <c r="J46" i="1"/>
  <c r="I46" i="1"/>
  <c r="H46" i="1"/>
  <c r="G46" i="1"/>
  <c r="J42" i="1"/>
  <c r="I42" i="1"/>
  <c r="H42" i="1"/>
  <c r="G42" i="1"/>
  <c r="J37" i="1"/>
  <c r="I37" i="1"/>
  <c r="H37" i="1"/>
  <c r="G37" i="1"/>
  <c r="J34" i="1" l="1"/>
  <c r="I34" i="1"/>
  <c r="H34" i="1"/>
  <c r="G34" i="1"/>
  <c r="J31" i="1"/>
  <c r="I31" i="1"/>
  <c r="H31" i="1"/>
  <c r="G31" i="1"/>
  <c r="J29" i="1"/>
  <c r="I29" i="1"/>
  <c r="H29" i="1"/>
  <c r="G29" i="1"/>
  <c r="J25" i="1"/>
  <c r="I25" i="1"/>
  <c r="H25" i="1"/>
  <c r="G25" i="1"/>
  <c r="J28" i="1"/>
  <c r="I28" i="1"/>
  <c r="H28" i="1"/>
  <c r="G28" i="1"/>
  <c r="J26" i="1"/>
  <c r="I26" i="1"/>
  <c r="H26" i="1"/>
  <c r="G26" i="1"/>
  <c r="J23" i="1"/>
  <c r="I23" i="1"/>
  <c r="H23" i="1"/>
  <c r="G23" i="1"/>
  <c r="F21" i="1" l="1"/>
  <c r="J20" i="1"/>
  <c r="I20" i="1"/>
  <c r="H20" i="1"/>
  <c r="G20" i="1"/>
  <c r="J19" i="1" l="1"/>
  <c r="I19" i="1"/>
  <c r="H19" i="1"/>
  <c r="G19" i="1"/>
  <c r="J15" i="1"/>
  <c r="I15" i="1"/>
  <c r="H15" i="1"/>
  <c r="G15" i="1"/>
  <c r="J13" i="1"/>
  <c r="I13" i="1"/>
  <c r="H13" i="1"/>
  <c r="G13" i="1"/>
  <c r="J8" i="1"/>
  <c r="I8" i="1"/>
  <c r="H8" i="1"/>
  <c r="G8" i="1"/>
  <c r="J5" i="1"/>
  <c r="I5" i="1"/>
  <c r="H5" i="1"/>
  <c r="G5" i="1"/>
  <c r="J4" i="1"/>
  <c r="I4" i="1"/>
  <c r="H4" i="1"/>
  <c r="G4" i="1"/>
  <c r="J3" i="1"/>
  <c r="I3" i="1"/>
  <c r="H3" i="1"/>
  <c r="G3" i="1"/>
  <c r="J45" i="1" l="1"/>
  <c r="I45" i="1"/>
  <c r="H45" i="1"/>
  <c r="G45" i="1"/>
  <c r="J44" i="1"/>
  <c r="I44" i="1"/>
  <c r="H44" i="1"/>
  <c r="G44" i="1"/>
  <c r="F43" i="1"/>
  <c r="J40" i="1"/>
  <c r="I40" i="1"/>
  <c r="H40" i="1"/>
  <c r="G40" i="1"/>
  <c r="J39" i="1"/>
  <c r="J43" i="1" s="1"/>
  <c r="I39" i="1"/>
  <c r="I43" i="1" s="1"/>
  <c r="H39" i="1"/>
  <c r="H43" i="1" s="1"/>
  <c r="G39" i="1"/>
  <c r="G43" i="1" s="1"/>
  <c r="F38" i="1"/>
  <c r="J38" i="1"/>
  <c r="I38" i="1"/>
  <c r="H38" i="1"/>
  <c r="G38" i="1"/>
  <c r="F35" i="1"/>
  <c r="J32" i="1"/>
  <c r="I32" i="1"/>
  <c r="H32" i="1"/>
  <c r="G32" i="1"/>
  <c r="J35" i="1"/>
  <c r="I35" i="1"/>
  <c r="H35" i="1"/>
  <c r="G35" i="1"/>
  <c r="F30" i="1"/>
  <c r="G30" i="1"/>
  <c r="J30" i="1"/>
  <c r="I30" i="1"/>
  <c r="H30" i="1"/>
  <c r="J11" i="1" l="1"/>
  <c r="I11" i="1"/>
  <c r="H11" i="1"/>
  <c r="G11" i="1"/>
  <c r="J10" i="1"/>
  <c r="I10" i="1"/>
  <c r="H10" i="1"/>
  <c r="G10" i="1"/>
  <c r="J7" i="1"/>
  <c r="I7" i="1"/>
  <c r="H7" i="1"/>
  <c r="G7" i="1"/>
  <c r="J16" i="1" l="1"/>
  <c r="I16" i="1"/>
  <c r="H16" i="1"/>
  <c r="G16" i="1"/>
  <c r="G21" i="1" l="1"/>
  <c r="J21" i="1"/>
  <c r="J17" i="1"/>
  <c r="I17" i="1"/>
  <c r="I21" i="1" s="1"/>
  <c r="H17" i="1"/>
  <c r="H21" i="1" s="1"/>
  <c r="G17" i="1"/>
  <c r="F9" i="1" l="1"/>
  <c r="J9" i="1" l="1"/>
  <c r="I9" i="1"/>
  <c r="H9" i="1"/>
  <c r="G9" i="1"/>
  <c r="F14" i="1" l="1"/>
  <c r="J14" i="1" l="1"/>
  <c r="I14" i="1"/>
  <c r="H14" i="1"/>
  <c r="G14" i="1"/>
  <c r="F24" i="1"/>
  <c r="J24" i="1"/>
  <c r="I24" i="1"/>
  <c r="H24" i="1"/>
  <c r="G24" i="1"/>
</calcChain>
</file>

<file path=xl/sharedStrings.xml><?xml version="1.0" encoding="utf-8"?>
<sst xmlns="http://schemas.openxmlformats.org/spreadsheetml/2006/main" count="172" uniqueCount="75">
  <si>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</si>
  <si>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</si>
  <si>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</si>
  <si>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</si>
  <si>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</si>
  <si>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</si>
  <si>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</si>
  <si>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</si>
  <si>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</si>
  <si>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</si>
  <si>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</si>
  <si>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</si>
  <si>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</si>
  <si>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</si>
  <si>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</si>
  <si>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</si>
  <si>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</si>
  <si>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</si>
  <si>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</si>
  <si>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</si>
  <si>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</si>
  <si>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</si>
  <si>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</si>
  <si>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</si>
  <si>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</si>
  <si>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</si>
  <si>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</si>
  <si>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</si>
  <si>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</si>
  <si>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</si>
  <si>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</si>
  <si>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</si>
  <si>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</si>
  <si>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</si>
  <si>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</si>
  <si>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</si>
  <si>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</si>
  <si>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</si>
  <si>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Кондитерское изделие</t>
  </si>
  <si>
    <t>ПР</t>
  </si>
  <si>
    <t>№304-2015г.</t>
  </si>
  <si>
    <t>Рис отварной</t>
  </si>
  <si>
    <t>№250-2015г.</t>
  </si>
  <si>
    <t>Бефстроганов</t>
  </si>
  <si>
    <t>№306-2015г.</t>
  </si>
  <si>
    <t>Фрукт</t>
  </si>
  <si>
    <t>№338-2015г.</t>
  </si>
  <si>
    <t>№111-2015г.</t>
  </si>
  <si>
    <t>№259-2015г.</t>
  </si>
  <si>
    <t>Жаркое по-домашнему из свинины</t>
  </si>
  <si>
    <t>50/125</t>
  </si>
  <si>
    <t>Завтрак 5-11 кл с доплатой 70,00 руб. и льготники с доплатой 50,00 руб. 1 смена</t>
  </si>
  <si>
    <t>Обед 6-7 кл.  доплатой 70,00 руб. и льготники с доплатой 50,00 руб. 2-я смена</t>
  </si>
  <si>
    <t>№686-2004г.</t>
  </si>
  <si>
    <t>Чай с лимоном</t>
  </si>
  <si>
    <t>200/15/7</t>
  </si>
  <si>
    <t>250/10/2</t>
  </si>
  <si>
    <t xml:space="preserve">Бобовые отварные (кукуруза сахарная консервированная) </t>
  </si>
  <si>
    <t>Напиток</t>
  </si>
  <si>
    <t>Суп с макаронными изделиями с цыплёнком и зеленью</t>
  </si>
  <si>
    <t>Молочный коктейль "Авишка" 2,5%</t>
  </si>
  <si>
    <t>200</t>
  </si>
  <si>
    <t>№425-2015г.</t>
  </si>
  <si>
    <t>Булочка дорожная</t>
  </si>
  <si>
    <t>25/62,5</t>
  </si>
  <si>
    <t>№45-2015г.</t>
  </si>
  <si>
    <t>Салат из белокочанной капусты с морковью</t>
  </si>
  <si>
    <t>№15-2015г.</t>
  </si>
  <si>
    <t>Сыр "Российский" (порциями)</t>
  </si>
  <si>
    <t>40/40</t>
  </si>
  <si>
    <t>Яблоко свежее</t>
  </si>
  <si>
    <t>35/35</t>
  </si>
  <si>
    <t>Печенье сахарное</t>
  </si>
  <si>
    <t>ТТК №6</t>
  </si>
  <si>
    <t>Булочка "Рулетик с маком"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</si>
</sst>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/>
    <xf numFmtId="2" fontId="7" fillId="0" borderId="2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2" fontId="6" fillId="0" borderId="5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2" fontId="6" fillId="0" borderId="13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2" fontId="6" fillId="0" borderId="15" xfId="0" applyNumberFormat="1" applyFont="1" applyBorder="1" applyAlignment="1">
      <alignment vertical="center" wrapText="1"/>
    </xf>
    <xf numFmtId="2" fontId="6" fillId="0" borderId="16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2" fontId="6" fillId="0" borderId="10" xfId="0" applyNumberFormat="1" applyFont="1" applyBorder="1" applyAlignment="1">
      <alignment horizontal="right" vertical="center" wrapText="1"/>
    </xf>
    <xf numFmtId="2" fontId="6" fillId="0" borderId="11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2" fontId="6" fillId="0" borderId="15" xfId="0" applyNumberFormat="1" applyFont="1" applyBorder="1" applyAlignment="1">
      <alignment horizontal="right" vertical="center" wrapText="1"/>
    </xf>
    <xf numFmtId="2" fontId="7" fillId="0" borderId="8" xfId="0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2" fontId="7" fillId="0" borderId="22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2" fontId="10" fillId="0" borderId="5" xfId="0" applyNumberFormat="1" applyFont="1" applyBorder="1" applyAlignment="1">
      <alignment horizontal="right" vertical="center" wrapText="1"/>
    </xf>
    <xf numFmtId="2" fontId="10" fillId="0" borderId="13" xfId="0" applyNumberFormat="1" applyFont="1" applyBorder="1" applyAlignment="1">
      <alignment horizontal="right" vertical="center" wrapText="1"/>
    </xf>
    <xf numFmtId="0" fontId="6" fillId="0" borderId="24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/>
    <xf numFmtId="2" fontId="6" fillId="0" borderId="16" xfId="0" applyNumberFormat="1" applyFont="1" applyBorder="1" applyAlignment="1">
      <alignment horizontal="righ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4" fontId="6" fillId="0" borderId="15" xfId="0" applyNumberFormat="1" applyFont="1" applyBorder="1" applyAlignment="1">
      <alignment horizontal="right" vertical="center" wrapText="1"/>
    </xf>
    <xf numFmtId="0" fontId="6" fillId="0" borderId="0" xfId="0" applyFont="1"/>
    <xf numFmtId="0" fontId="6" fillId="0" borderId="0" xfId="0" applyFont="1"/>
    <xf numFmtId="2" fontId="7" fillId="0" borderId="30" xfId="0" applyNumberFormat="1" applyFont="1" applyBorder="1" applyAlignment="1">
      <alignment vertical="center" wrapText="1"/>
    </xf>
    <xf numFmtId="0" fontId="6" fillId="0" borderId="0" xfId="0" applyFont="1"/>
    <xf numFmtId="0" fontId="6" fillId="0" borderId="10" xfId="0" applyFont="1" applyBorder="1" applyAlignment="1">
      <alignment horizontal="left" vertical="center" wrapText="1"/>
    </xf>
    <xf numFmtId="2" fontId="6" fillId="0" borderId="5" xfId="0" applyNumberFormat="1" applyFont="1" applyBorder="1" applyAlignment="1">
      <alignment vertical="center" wrapText="1"/>
    </xf>
    <xf numFmtId="2" fontId="6" fillId="0" borderId="13" xfId="0" applyNumberFormat="1" applyFont="1" applyBorder="1" applyAlignment="1">
      <alignment vertical="center" wrapText="1"/>
    </xf>
    <xf numFmtId="0" fontId="6" fillId="0" borderId="0" xfId="0" applyFont="1"/>
    <xf numFmtId="0" fontId="6" fillId="0" borderId="9" xfId="0" applyFont="1" applyBorder="1" applyAlignment="1">
      <alignment horizontal="left" vertical="center" wrapText="1"/>
    </xf>
    <xf numFmtId="0" fontId="6" fillId="0" borderId="39" xfId="8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right" vertical="center" wrapText="1"/>
    </xf>
    <xf numFmtId="2" fontId="6" fillId="0" borderId="10" xfId="8" applyNumberFormat="1" applyFont="1" applyBorder="1" applyAlignment="1">
      <alignment horizontal="right" vertical="center" wrapText="1"/>
    </xf>
    <xf numFmtId="2" fontId="6" fillId="0" borderId="11" xfId="8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/>
    <xf numFmtId="0" fontId="7" fillId="0" borderId="19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right" vertical="center" wrapText="1"/>
    </xf>
    <xf numFmtId="14" fontId="9" fillId="0" borderId="20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14" fontId="9" fillId="0" borderId="23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right" vertical="center" wrapText="1"/>
    </xf>
    <xf numFmtId="0" fontId="6" fillId="0" borderId="3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6" fillId="0" borderId="15" xfId="0" applyNumberFormat="1" applyFont="1" applyBorder="1" applyAlignment="1">
      <alignment horizontal="right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4 2" xfId="5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F50" sqref="F50:J50"/>
    </sheetView>
  </sheetViews>
  <sheetFormatPr defaultRowHeight="15" x14ac:dyDescent="0.25"/>
  <cols>
    <col min="1" max="1" width="20.140625" style="2" customWidth="1"/>
    <col min="2" max="2" width="19.4257812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7" t="s">
        <v>22</v>
      </c>
      <c r="C1" s="88"/>
      <c r="D1" s="1" t="s">
        <v>1</v>
      </c>
      <c r="E1" s="26"/>
      <c r="F1" s="1" t="s">
        <v>2</v>
      </c>
      <c r="G1" s="71">
        <v>44903</v>
      </c>
      <c r="H1" s="72"/>
      <c r="I1" s="72"/>
      <c r="J1" s="73"/>
      <c r="K1" s="1"/>
      <c r="L1" s="1"/>
    </row>
    <row r="2" spans="1:12" ht="15.75" thickBot="1" x14ac:dyDescent="0.3">
      <c r="A2" s="30" t="s">
        <v>3</v>
      </c>
      <c r="B2" s="4" t="s">
        <v>4</v>
      </c>
      <c r="C2" s="31" t="s">
        <v>5</v>
      </c>
      <c r="D2" s="33" t="s">
        <v>6</v>
      </c>
      <c r="E2" s="33" t="s">
        <v>7</v>
      </c>
      <c r="F2" s="33" t="s">
        <v>8</v>
      </c>
      <c r="G2" s="4" t="s">
        <v>9</v>
      </c>
      <c r="H2" s="4" t="s">
        <v>10</v>
      </c>
      <c r="I2" s="4" t="s">
        <v>11</v>
      </c>
      <c r="J2" s="32" t="s">
        <v>12</v>
      </c>
    </row>
    <row r="3" spans="1:12" s="40" customFormat="1" x14ac:dyDescent="0.25">
      <c r="A3" s="76" t="s">
        <v>27</v>
      </c>
      <c r="B3" s="47" t="s">
        <v>31</v>
      </c>
      <c r="C3" s="43" t="s">
        <v>67</v>
      </c>
      <c r="D3" s="43" t="s">
        <v>68</v>
      </c>
      <c r="E3" s="13">
        <v>13</v>
      </c>
      <c r="F3" s="89">
        <v>13.37</v>
      </c>
      <c r="G3" s="89">
        <f>3.64*13</f>
        <v>47.32</v>
      </c>
      <c r="H3" s="89">
        <f>23.2*0.13</f>
        <v>3.016</v>
      </c>
      <c r="I3" s="89">
        <f>29.5*0.13</f>
        <v>3.835</v>
      </c>
      <c r="J3" s="90">
        <f>0</f>
        <v>0</v>
      </c>
    </row>
    <row r="4" spans="1:12" s="36" customFormat="1" x14ac:dyDescent="0.25">
      <c r="A4" s="77"/>
      <c r="B4" s="7" t="s">
        <v>13</v>
      </c>
      <c r="C4" s="5" t="s">
        <v>42</v>
      </c>
      <c r="D4" s="5" t="s">
        <v>43</v>
      </c>
      <c r="E4" s="16" t="s">
        <v>69</v>
      </c>
      <c r="F4" s="6">
        <v>65.05</v>
      </c>
      <c r="G4" s="24">
        <f>290*0.8</f>
        <v>232</v>
      </c>
      <c r="H4" s="24">
        <f>15.2*0.8</f>
        <v>12.16</v>
      </c>
      <c r="I4" s="24">
        <f>23.1*0.8</f>
        <v>18.48</v>
      </c>
      <c r="J4" s="25">
        <f>5.12*0.8</f>
        <v>4.0960000000000001</v>
      </c>
    </row>
    <row r="5" spans="1:12" s="36" customFormat="1" x14ac:dyDescent="0.25">
      <c r="A5" s="77"/>
      <c r="B5" s="7" t="s">
        <v>17</v>
      </c>
      <c r="C5" s="5" t="s">
        <v>40</v>
      </c>
      <c r="D5" s="5" t="s">
        <v>41</v>
      </c>
      <c r="E5" s="16">
        <v>120</v>
      </c>
      <c r="F5" s="6">
        <v>11.94</v>
      </c>
      <c r="G5" s="6">
        <f>1398*0.12</f>
        <v>167.76</v>
      </c>
      <c r="H5" s="6">
        <f>24.34*0.12</f>
        <v>2.9207999999999998</v>
      </c>
      <c r="I5" s="6">
        <f>35.83*0.12</f>
        <v>4.2995999999999999</v>
      </c>
      <c r="J5" s="8">
        <f>244.56*0.12</f>
        <v>29.347200000000001</v>
      </c>
    </row>
    <row r="6" spans="1:12" s="27" customFormat="1" x14ac:dyDescent="0.25">
      <c r="A6" s="77"/>
      <c r="B6" s="7" t="s">
        <v>18</v>
      </c>
      <c r="C6" s="5" t="s">
        <v>19</v>
      </c>
      <c r="D6" s="5" t="s">
        <v>20</v>
      </c>
      <c r="E6" s="16" t="s">
        <v>34</v>
      </c>
      <c r="F6" s="6">
        <v>2.21</v>
      </c>
      <c r="G6" s="6">
        <v>60</v>
      </c>
      <c r="H6" s="6">
        <v>7.0000000000000007E-2</v>
      </c>
      <c r="I6" s="6">
        <v>0.02</v>
      </c>
      <c r="J6" s="8">
        <v>15</v>
      </c>
      <c r="K6"/>
    </row>
    <row r="7" spans="1:12" s="42" customFormat="1" x14ac:dyDescent="0.25">
      <c r="A7" s="77"/>
      <c r="B7" s="7" t="s">
        <v>21</v>
      </c>
      <c r="C7" s="5" t="s">
        <v>62</v>
      </c>
      <c r="D7" s="5" t="s">
        <v>63</v>
      </c>
      <c r="E7" s="16">
        <v>50</v>
      </c>
      <c r="F7" s="6">
        <v>3.57</v>
      </c>
      <c r="G7" s="6">
        <f>160.5/5*5</f>
        <v>160.5</v>
      </c>
      <c r="H7" s="6">
        <f>3.39/5*5</f>
        <v>3.39</v>
      </c>
      <c r="I7" s="6">
        <f>6.98/5*5</f>
        <v>6.98</v>
      </c>
      <c r="J7" s="8">
        <f>21.07/5*5</f>
        <v>21.07</v>
      </c>
    </row>
    <row r="8" spans="1:12" s="35" customFormat="1" ht="15.75" thickBot="1" x14ac:dyDescent="0.3">
      <c r="A8" s="78"/>
      <c r="B8" s="9" t="s">
        <v>14</v>
      </c>
      <c r="C8" s="10" t="s">
        <v>32</v>
      </c>
      <c r="D8" s="10" t="s">
        <v>33</v>
      </c>
      <c r="E8" s="17">
        <v>26</v>
      </c>
      <c r="F8" s="18">
        <v>1.01</v>
      </c>
      <c r="G8" s="18">
        <f>229.7*0.26</f>
        <v>59.722000000000001</v>
      </c>
      <c r="H8" s="11">
        <f>6.7*0.26</f>
        <v>1.7420000000000002</v>
      </c>
      <c r="I8" s="11">
        <f>1.1*0.26</f>
        <v>0.28600000000000003</v>
      </c>
      <c r="J8" s="12">
        <f>48.3*0.26</f>
        <v>12.558</v>
      </c>
    </row>
    <row r="9" spans="1:12" ht="16.5" thickBot="1" x14ac:dyDescent="0.3">
      <c r="A9" s="56" t="s">
        <v>15</v>
      </c>
      <c r="B9" s="62"/>
      <c r="C9" s="62"/>
      <c r="D9" s="62"/>
      <c r="E9" s="70"/>
      <c r="F9" s="41">
        <f>SUM(F3:F8)</f>
        <v>97.149999999999991</v>
      </c>
      <c r="G9" s="41">
        <f t="shared" ref="G9:J9" si="0">SUM(G3:G8)</f>
        <v>727.30199999999991</v>
      </c>
      <c r="H9" s="41">
        <f t="shared" si="0"/>
        <v>23.298800000000004</v>
      </c>
      <c r="I9" s="41">
        <f t="shared" si="0"/>
        <v>33.900600000000004</v>
      </c>
      <c r="J9" s="41">
        <f t="shared" si="0"/>
        <v>82.071200000000005</v>
      </c>
    </row>
    <row r="10" spans="1:12" x14ac:dyDescent="0.25">
      <c r="A10" s="55" t="s">
        <v>28</v>
      </c>
      <c r="B10" s="20" t="s">
        <v>16</v>
      </c>
      <c r="C10" s="21" t="s">
        <v>47</v>
      </c>
      <c r="D10" s="21" t="s">
        <v>59</v>
      </c>
      <c r="E10" s="13" t="s">
        <v>56</v>
      </c>
      <c r="F10" s="14">
        <v>14.01</v>
      </c>
      <c r="G10" s="14">
        <f>468*0.25+211*0.1</f>
        <v>138.1</v>
      </c>
      <c r="H10" s="14">
        <f>9.54*0.25+21.1*0.1</f>
        <v>4.4950000000000001</v>
      </c>
      <c r="I10" s="14">
        <f>20.31*0.25+13.6*0.1</f>
        <v>6.4375</v>
      </c>
      <c r="J10" s="15">
        <f>51.98*0.25+0</f>
        <v>12.994999999999999</v>
      </c>
      <c r="K10"/>
    </row>
    <row r="11" spans="1:12" x14ac:dyDescent="0.25">
      <c r="A11" s="55"/>
      <c r="B11" s="7" t="s">
        <v>13</v>
      </c>
      <c r="C11" s="5" t="s">
        <v>48</v>
      </c>
      <c r="D11" s="5" t="s">
        <v>49</v>
      </c>
      <c r="E11" s="16" t="s">
        <v>64</v>
      </c>
      <c r="F11" s="6">
        <v>24.47</v>
      </c>
      <c r="G11" s="24">
        <f>383/50*25</f>
        <v>191.5</v>
      </c>
      <c r="H11" s="24">
        <f>12.3/50*25</f>
        <v>6.15</v>
      </c>
      <c r="I11" s="24">
        <f>29.5/50*25</f>
        <v>14.75</v>
      </c>
      <c r="J11" s="25">
        <f>16.58/50*25</f>
        <v>8.2899999999999991</v>
      </c>
      <c r="K11"/>
    </row>
    <row r="12" spans="1:12" s="37" customFormat="1" x14ac:dyDescent="0.25">
      <c r="A12" s="55"/>
      <c r="B12" s="7" t="s">
        <v>18</v>
      </c>
      <c r="C12" s="5" t="s">
        <v>19</v>
      </c>
      <c r="D12" s="5" t="s">
        <v>20</v>
      </c>
      <c r="E12" s="16" t="s">
        <v>34</v>
      </c>
      <c r="F12" s="6">
        <v>2.21</v>
      </c>
      <c r="G12" s="6">
        <v>60</v>
      </c>
      <c r="H12" s="6">
        <v>7.0000000000000007E-2</v>
      </c>
      <c r="I12" s="6">
        <v>0.02</v>
      </c>
      <c r="J12" s="8">
        <v>15</v>
      </c>
      <c r="K12"/>
    </row>
    <row r="13" spans="1:12" ht="15.75" thickBot="1" x14ac:dyDescent="0.3">
      <c r="A13" s="55"/>
      <c r="B13" s="9" t="s">
        <v>14</v>
      </c>
      <c r="C13" s="10" t="s">
        <v>32</v>
      </c>
      <c r="D13" s="10" t="s">
        <v>33</v>
      </c>
      <c r="E13" s="17">
        <v>41.5</v>
      </c>
      <c r="F13" s="18">
        <v>1.6</v>
      </c>
      <c r="G13" s="18">
        <f>229.7*0.415</f>
        <v>95.325499999999991</v>
      </c>
      <c r="H13" s="11">
        <f>6.7*0.415</f>
        <v>2.7805</v>
      </c>
      <c r="I13" s="11">
        <f>1.1*0.415</f>
        <v>0.45650000000000002</v>
      </c>
      <c r="J13" s="12">
        <f>48.3*0.415</f>
        <v>20.044499999999999</v>
      </c>
    </row>
    <row r="14" spans="1:12" ht="16.5" thickBot="1" x14ac:dyDescent="0.3">
      <c r="A14" s="74" t="s">
        <v>15</v>
      </c>
      <c r="B14" s="62"/>
      <c r="C14" s="62"/>
      <c r="D14" s="62"/>
      <c r="E14" s="63"/>
      <c r="F14" s="19">
        <f>SUM(F10:F13)</f>
        <v>42.29</v>
      </c>
      <c r="G14" s="19">
        <f>SUM(G10:G13)</f>
        <v>484.9255</v>
      </c>
      <c r="H14" s="19">
        <f>SUM(H10:H13)</f>
        <v>13.4955</v>
      </c>
      <c r="I14" s="19">
        <f>SUM(I10:I13)</f>
        <v>21.663999999999998</v>
      </c>
      <c r="J14" s="19">
        <f>SUM(J10:J13)</f>
        <v>56.329499999999996</v>
      </c>
    </row>
    <row r="15" spans="1:12" s="42" customFormat="1" x14ac:dyDescent="0.25">
      <c r="A15" s="68" t="s">
        <v>29</v>
      </c>
      <c r="B15" s="20" t="s">
        <v>31</v>
      </c>
      <c r="C15" s="21" t="s">
        <v>65</v>
      </c>
      <c r="D15" s="21" t="s">
        <v>66</v>
      </c>
      <c r="E15" s="13">
        <v>75</v>
      </c>
      <c r="F15" s="14">
        <v>4.3899999999999997</v>
      </c>
      <c r="G15" s="14">
        <f>604*0.075</f>
        <v>45.3</v>
      </c>
      <c r="H15" s="14">
        <f>13.12*0.075</f>
        <v>0.98399999999999987</v>
      </c>
      <c r="I15" s="14">
        <f>32.49*0.075</f>
        <v>2.43675</v>
      </c>
      <c r="J15" s="15">
        <f>64.66*0.075</f>
        <v>4.8494999999999999</v>
      </c>
    </row>
    <row r="16" spans="1:12" s="39" customFormat="1" x14ac:dyDescent="0.25">
      <c r="A16" s="79"/>
      <c r="B16" s="7" t="s">
        <v>16</v>
      </c>
      <c r="C16" s="5" t="s">
        <v>47</v>
      </c>
      <c r="D16" s="5" t="s">
        <v>59</v>
      </c>
      <c r="E16" s="16" t="s">
        <v>56</v>
      </c>
      <c r="F16" s="6">
        <v>14.01</v>
      </c>
      <c r="G16" s="6">
        <f>468*0.25+211*0.1</f>
        <v>138.1</v>
      </c>
      <c r="H16" s="6">
        <f>9.54*0.25+21.1*0.1</f>
        <v>4.4950000000000001</v>
      </c>
      <c r="I16" s="6">
        <f>20.31*0.25+13.6*0.1</f>
        <v>6.4375</v>
      </c>
      <c r="J16" s="8">
        <f>51.98*0.25+0</f>
        <v>12.994999999999999</v>
      </c>
    </row>
    <row r="17" spans="1:11" s="34" customFormat="1" x14ac:dyDescent="0.25">
      <c r="A17" s="79"/>
      <c r="B17" s="7" t="s">
        <v>13</v>
      </c>
      <c r="C17" s="5" t="s">
        <v>48</v>
      </c>
      <c r="D17" s="5" t="s">
        <v>49</v>
      </c>
      <c r="E17" s="16" t="s">
        <v>50</v>
      </c>
      <c r="F17" s="6">
        <v>48.94</v>
      </c>
      <c r="G17" s="24">
        <f>383</f>
        <v>383</v>
      </c>
      <c r="H17" s="24">
        <f>12.3</f>
        <v>12.3</v>
      </c>
      <c r="I17" s="24">
        <f>29.5</f>
        <v>29.5</v>
      </c>
      <c r="J17" s="25">
        <f>16.58</f>
        <v>16.579999999999998</v>
      </c>
    </row>
    <row r="18" spans="1:11" s="39" customFormat="1" x14ac:dyDescent="0.25">
      <c r="A18" s="79"/>
      <c r="B18" s="7" t="s">
        <v>18</v>
      </c>
      <c r="C18" s="5" t="s">
        <v>19</v>
      </c>
      <c r="D18" s="5" t="s">
        <v>20</v>
      </c>
      <c r="E18" s="16" t="s">
        <v>34</v>
      </c>
      <c r="F18" s="6">
        <v>2.21</v>
      </c>
      <c r="G18" s="6">
        <v>60</v>
      </c>
      <c r="H18" s="6">
        <v>7.0000000000000007E-2</v>
      </c>
      <c r="I18" s="6">
        <v>0.02</v>
      </c>
      <c r="J18" s="8">
        <v>15</v>
      </c>
      <c r="K18"/>
    </row>
    <row r="19" spans="1:11" s="42" customFormat="1" x14ac:dyDescent="0.25">
      <c r="A19" s="79"/>
      <c r="B19" s="7" t="s">
        <v>14</v>
      </c>
      <c r="C19" s="5" t="s">
        <v>32</v>
      </c>
      <c r="D19" s="5" t="s">
        <v>33</v>
      </c>
      <c r="E19" s="16">
        <v>70</v>
      </c>
      <c r="F19" s="6">
        <v>2.72</v>
      </c>
      <c r="G19" s="6">
        <f>229.7*0.7</f>
        <v>160.79</v>
      </c>
      <c r="H19" s="44">
        <f>6.7*0.7</f>
        <v>4.6899999999999995</v>
      </c>
      <c r="I19" s="44">
        <f>1.1*0.7</f>
        <v>0.77</v>
      </c>
      <c r="J19" s="45">
        <f>48.3*0.7</f>
        <v>33.809999999999995</v>
      </c>
      <c r="K19"/>
    </row>
    <row r="20" spans="1:11" s="42" customFormat="1" ht="15.75" thickBot="1" x14ac:dyDescent="0.3">
      <c r="A20" s="69"/>
      <c r="B20" s="9" t="s">
        <v>45</v>
      </c>
      <c r="C20" s="10" t="s">
        <v>46</v>
      </c>
      <c r="D20" s="10" t="s">
        <v>70</v>
      </c>
      <c r="E20" s="91">
        <v>220</v>
      </c>
      <c r="F20" s="11">
        <v>24.88</v>
      </c>
      <c r="G20" s="38">
        <f>47*2.2</f>
        <v>103.4</v>
      </c>
      <c r="H20" s="18">
        <f>0.4*2.2</f>
        <v>0.88000000000000012</v>
      </c>
      <c r="I20" s="18">
        <f>0.4*2.2</f>
        <v>0.88000000000000012</v>
      </c>
      <c r="J20" s="29">
        <f>9.8*2.2</f>
        <v>21.560000000000002</v>
      </c>
    </row>
    <row r="21" spans="1:11" s="28" customFormat="1" ht="16.5" thickBot="1" x14ac:dyDescent="0.3">
      <c r="A21" s="56" t="s">
        <v>15</v>
      </c>
      <c r="B21" s="57"/>
      <c r="C21" s="57"/>
      <c r="D21" s="57"/>
      <c r="E21" s="75"/>
      <c r="F21" s="22">
        <f>SUM(F15:F20)</f>
        <v>97.149999999999991</v>
      </c>
      <c r="G21" s="22">
        <f t="shared" ref="G21:J21" si="1">SUM(G15:G20)</f>
        <v>890.58999999999992</v>
      </c>
      <c r="H21" s="22">
        <f t="shared" si="1"/>
        <v>23.419</v>
      </c>
      <c r="I21" s="22">
        <f t="shared" si="1"/>
        <v>40.044250000000012</v>
      </c>
      <c r="J21" s="22">
        <f t="shared" si="1"/>
        <v>104.7945</v>
      </c>
      <c r="K21"/>
    </row>
    <row r="22" spans="1:11" s="37" customFormat="1" x14ac:dyDescent="0.25">
      <c r="A22" s="83" t="s">
        <v>30</v>
      </c>
      <c r="B22" s="47" t="s">
        <v>58</v>
      </c>
      <c r="C22" s="43" t="s">
        <v>39</v>
      </c>
      <c r="D22" s="48" t="s">
        <v>60</v>
      </c>
      <c r="E22" s="49" t="s">
        <v>61</v>
      </c>
      <c r="F22" s="13">
        <v>41.02</v>
      </c>
      <c r="G22" s="14">
        <v>160</v>
      </c>
      <c r="H22" s="50">
        <v>5</v>
      </c>
      <c r="I22" s="50">
        <v>6.2</v>
      </c>
      <c r="J22" s="51">
        <v>22</v>
      </c>
      <c r="K22"/>
    </row>
    <row r="23" spans="1:11" s="37" customFormat="1" ht="33" customHeight="1" thickBot="1" x14ac:dyDescent="0.3">
      <c r="A23" s="83"/>
      <c r="B23" s="9" t="s">
        <v>14</v>
      </c>
      <c r="C23" s="10" t="s">
        <v>32</v>
      </c>
      <c r="D23" s="10" t="s">
        <v>33</v>
      </c>
      <c r="E23" s="17">
        <v>33</v>
      </c>
      <c r="F23" s="18">
        <v>1.27</v>
      </c>
      <c r="G23" s="18">
        <f>229.7*0.33</f>
        <v>75.801000000000002</v>
      </c>
      <c r="H23" s="11">
        <f>6.7*0.33</f>
        <v>2.2110000000000003</v>
      </c>
      <c r="I23" s="11">
        <f>1.1*0.33</f>
        <v>0.36300000000000004</v>
      </c>
      <c r="J23" s="12">
        <f>48.3*0.33</f>
        <v>15.939</v>
      </c>
      <c r="K23"/>
    </row>
    <row r="24" spans="1:11" s="37" customFormat="1" ht="16.5" thickBot="1" x14ac:dyDescent="0.3">
      <c r="A24" s="84" t="s">
        <v>15</v>
      </c>
      <c r="B24" s="85"/>
      <c r="C24" s="85"/>
      <c r="D24" s="85"/>
      <c r="E24" s="86"/>
      <c r="F24" s="3">
        <f>SUM(F22:F23)</f>
        <v>42.290000000000006</v>
      </c>
      <c r="G24" s="3">
        <f>SUM(G22:G23)</f>
        <v>235.80099999999999</v>
      </c>
      <c r="H24" s="3">
        <f>SUM(H22:H23)</f>
        <v>7.2110000000000003</v>
      </c>
      <c r="I24" s="3">
        <f>SUM(I22:I23)</f>
        <v>6.5630000000000006</v>
      </c>
      <c r="J24" s="3">
        <f>SUM(J22:J23)</f>
        <v>37.939</v>
      </c>
      <c r="K24"/>
    </row>
    <row r="25" spans="1:11" x14ac:dyDescent="0.25">
      <c r="A25" s="80" t="s">
        <v>51</v>
      </c>
      <c r="B25" s="7" t="s">
        <v>13</v>
      </c>
      <c r="C25" s="5" t="s">
        <v>42</v>
      </c>
      <c r="D25" s="5" t="s">
        <v>43</v>
      </c>
      <c r="E25" s="16" t="s">
        <v>71</v>
      </c>
      <c r="F25" s="6">
        <v>56.92</v>
      </c>
      <c r="G25" s="24">
        <f>290*0.7</f>
        <v>203</v>
      </c>
      <c r="H25" s="24">
        <f>15.2*0.7</f>
        <v>10.639999999999999</v>
      </c>
      <c r="I25" s="24">
        <f>23.1*0.7</f>
        <v>16.170000000000002</v>
      </c>
      <c r="J25" s="25">
        <f>5.12*0.7</f>
        <v>3.5839999999999996</v>
      </c>
    </row>
    <row r="26" spans="1:11" x14ac:dyDescent="0.25">
      <c r="A26" s="81"/>
      <c r="B26" s="7" t="s">
        <v>17</v>
      </c>
      <c r="C26" s="5" t="s">
        <v>40</v>
      </c>
      <c r="D26" s="5" t="s">
        <v>41</v>
      </c>
      <c r="E26" s="16">
        <v>130</v>
      </c>
      <c r="F26" s="6">
        <v>13.03</v>
      </c>
      <c r="G26" s="6">
        <f>1398*0.13</f>
        <v>181.74</v>
      </c>
      <c r="H26" s="6">
        <f>24.34*0.13</f>
        <v>3.1642000000000001</v>
      </c>
      <c r="I26" s="6">
        <f>35.83*0.13</f>
        <v>4.6578999999999997</v>
      </c>
      <c r="J26" s="8">
        <f>244.56*0.13</f>
        <v>31.7928</v>
      </c>
    </row>
    <row r="27" spans="1:11" ht="15.75" customHeight="1" x14ac:dyDescent="0.25">
      <c r="A27" s="81"/>
      <c r="B27" s="7" t="s">
        <v>18</v>
      </c>
      <c r="C27" s="5" t="s">
        <v>19</v>
      </c>
      <c r="D27" s="5" t="s">
        <v>20</v>
      </c>
      <c r="E27" s="16" t="s">
        <v>34</v>
      </c>
      <c r="F27" s="6">
        <v>2.21</v>
      </c>
      <c r="G27" s="6">
        <v>60</v>
      </c>
      <c r="H27" s="6">
        <v>7.0000000000000007E-2</v>
      </c>
      <c r="I27" s="6">
        <v>0.02</v>
      </c>
      <c r="J27" s="8">
        <v>15</v>
      </c>
    </row>
    <row r="28" spans="1:11" x14ac:dyDescent="0.25">
      <c r="A28" s="81"/>
      <c r="B28" s="7" t="s">
        <v>21</v>
      </c>
      <c r="C28" s="5" t="s">
        <v>62</v>
      </c>
      <c r="D28" s="5" t="s">
        <v>63</v>
      </c>
      <c r="E28" s="16">
        <v>50</v>
      </c>
      <c r="F28" s="6">
        <v>3.57</v>
      </c>
      <c r="G28" s="6">
        <f>160.5/5*5</f>
        <v>160.5</v>
      </c>
      <c r="H28" s="6">
        <f>3.39/5*5</f>
        <v>3.39</v>
      </c>
      <c r="I28" s="6">
        <f>6.98/5*5</f>
        <v>6.98</v>
      </c>
      <c r="J28" s="8">
        <f>21.07/5*5</f>
        <v>21.07</v>
      </c>
    </row>
    <row r="29" spans="1:11" ht="15" customHeight="1" thickBot="1" x14ac:dyDescent="0.3">
      <c r="A29" s="82"/>
      <c r="B29" s="9" t="s">
        <v>14</v>
      </c>
      <c r="C29" s="10" t="s">
        <v>32</v>
      </c>
      <c r="D29" s="10" t="s">
        <v>33</v>
      </c>
      <c r="E29" s="17">
        <v>33</v>
      </c>
      <c r="F29" s="18">
        <v>1.27</v>
      </c>
      <c r="G29" s="18">
        <f>229.7*0.33</f>
        <v>75.801000000000002</v>
      </c>
      <c r="H29" s="11">
        <f>6.7*0.33</f>
        <v>2.2110000000000003</v>
      </c>
      <c r="I29" s="11">
        <f>1.1*0.33</f>
        <v>0.36300000000000004</v>
      </c>
      <c r="J29" s="12">
        <f>48.3*0.33</f>
        <v>15.939</v>
      </c>
    </row>
    <row r="30" spans="1:11" ht="16.5" thickBot="1" x14ac:dyDescent="0.3">
      <c r="A30" s="61" t="s">
        <v>15</v>
      </c>
      <c r="B30" s="62"/>
      <c r="C30" s="62"/>
      <c r="D30" s="62"/>
      <c r="E30" s="63"/>
      <c r="F30" s="19">
        <f>SUM(F25:F29)</f>
        <v>76.999999999999986</v>
      </c>
      <c r="G30" s="19">
        <f>SUM(G25:G29)</f>
        <v>681.04100000000005</v>
      </c>
      <c r="H30" s="19">
        <f>SUM(H25:H29)</f>
        <v>19.475200000000001</v>
      </c>
      <c r="I30" s="19">
        <f>SUM(I25:I29)</f>
        <v>28.190899999999999</v>
      </c>
      <c r="J30" s="19">
        <f>SUM(J25:J29)</f>
        <v>87.385799999999989</v>
      </c>
    </row>
    <row r="31" spans="1:11" ht="18" customHeight="1" x14ac:dyDescent="0.25">
      <c r="A31" s="64" t="s">
        <v>35</v>
      </c>
      <c r="B31" s="47" t="s">
        <v>31</v>
      </c>
      <c r="C31" s="43" t="s">
        <v>44</v>
      </c>
      <c r="D31" s="43" t="s">
        <v>57</v>
      </c>
      <c r="E31" s="13">
        <v>15</v>
      </c>
      <c r="F31" s="14">
        <v>8.8800000000000008</v>
      </c>
      <c r="G31" s="14">
        <f>736*0.015</f>
        <v>11.04</v>
      </c>
      <c r="H31" s="14">
        <f>20.55*0.015</f>
        <v>0.30825000000000002</v>
      </c>
      <c r="I31" s="14">
        <f>29.1*0.015</f>
        <v>0.4365</v>
      </c>
      <c r="J31" s="15">
        <f>97.89*0.015</f>
        <v>1.46835</v>
      </c>
    </row>
    <row r="32" spans="1:11" x14ac:dyDescent="0.25">
      <c r="A32" s="65"/>
      <c r="B32" s="7" t="s">
        <v>17</v>
      </c>
      <c r="C32" s="5" t="s">
        <v>40</v>
      </c>
      <c r="D32" s="5" t="s">
        <v>41</v>
      </c>
      <c r="E32" s="16">
        <v>150</v>
      </c>
      <c r="F32" s="6">
        <v>14.93</v>
      </c>
      <c r="G32" s="6">
        <f>1398*0.15</f>
        <v>209.7</v>
      </c>
      <c r="H32" s="6">
        <f>24.34*0.15</f>
        <v>3.6509999999999998</v>
      </c>
      <c r="I32" s="6">
        <f>35.83*0.15</f>
        <v>5.3744999999999994</v>
      </c>
      <c r="J32" s="8">
        <f>244.56*0.15</f>
        <v>36.683999999999997</v>
      </c>
    </row>
    <row r="33" spans="1:10" x14ac:dyDescent="0.25">
      <c r="A33" s="65"/>
      <c r="B33" s="7" t="s">
        <v>18</v>
      </c>
      <c r="C33" s="5" t="s">
        <v>19</v>
      </c>
      <c r="D33" s="5" t="s">
        <v>20</v>
      </c>
      <c r="E33" s="16" t="s">
        <v>34</v>
      </c>
      <c r="F33" s="6">
        <v>2.21</v>
      </c>
      <c r="G33" s="6">
        <v>60</v>
      </c>
      <c r="H33" s="6">
        <v>7.0000000000000007E-2</v>
      </c>
      <c r="I33" s="6">
        <v>0.02</v>
      </c>
      <c r="J33" s="8">
        <v>15</v>
      </c>
    </row>
    <row r="34" spans="1:10" ht="15.75" thickBot="1" x14ac:dyDescent="0.3">
      <c r="A34" s="66"/>
      <c r="B34" s="9" t="s">
        <v>14</v>
      </c>
      <c r="C34" s="10" t="s">
        <v>32</v>
      </c>
      <c r="D34" s="10" t="s">
        <v>33</v>
      </c>
      <c r="E34" s="17">
        <v>25.4</v>
      </c>
      <c r="F34" s="18">
        <v>0.98</v>
      </c>
      <c r="G34" s="18">
        <f>229.7*0.254</f>
        <v>58.343799999999995</v>
      </c>
      <c r="H34" s="11">
        <f>6.7*0.254</f>
        <v>1.7018</v>
      </c>
      <c r="I34" s="11">
        <f>1.1*0.254</f>
        <v>0.27940000000000004</v>
      </c>
      <c r="J34" s="12">
        <f>48.3*0.254</f>
        <v>12.2682</v>
      </c>
    </row>
    <row r="35" spans="1:10" ht="16.5" thickBot="1" x14ac:dyDescent="0.3">
      <c r="A35" s="67" t="s">
        <v>15</v>
      </c>
      <c r="B35" s="62"/>
      <c r="C35" s="62"/>
      <c r="D35" s="62"/>
      <c r="E35" s="63"/>
      <c r="F35" s="19">
        <f>SUM(F31:F34)</f>
        <v>27.000000000000004</v>
      </c>
      <c r="G35" s="19">
        <f>SUM(G31:G34)</f>
        <v>339.0838</v>
      </c>
      <c r="H35" s="19">
        <f>SUM(H31:H34)</f>
        <v>5.7310499999999998</v>
      </c>
      <c r="I35" s="19">
        <f>SUM(I31:I34)</f>
        <v>6.1103999999999985</v>
      </c>
      <c r="J35" s="19">
        <f>SUM(J31:J34)</f>
        <v>65.420549999999992</v>
      </c>
    </row>
    <row r="36" spans="1:10" x14ac:dyDescent="0.25">
      <c r="A36" s="68" t="s">
        <v>36</v>
      </c>
      <c r="B36" s="20" t="s">
        <v>18</v>
      </c>
      <c r="C36" s="21" t="s">
        <v>19</v>
      </c>
      <c r="D36" s="21" t="s">
        <v>20</v>
      </c>
      <c r="E36" s="13" t="s">
        <v>34</v>
      </c>
      <c r="F36" s="14">
        <v>2.2400000000000002</v>
      </c>
      <c r="G36" s="14">
        <v>60</v>
      </c>
      <c r="H36" s="14">
        <v>7.0000000000000007E-2</v>
      </c>
      <c r="I36" s="14">
        <v>0.02</v>
      </c>
      <c r="J36" s="15">
        <v>15</v>
      </c>
    </row>
    <row r="37" spans="1:10" ht="30.75" thickBot="1" x14ac:dyDescent="0.3">
      <c r="A37" s="69"/>
      <c r="B37" s="9" t="s">
        <v>38</v>
      </c>
      <c r="C37" s="10" t="s">
        <v>39</v>
      </c>
      <c r="D37" s="10" t="s">
        <v>72</v>
      </c>
      <c r="E37" s="17">
        <v>21</v>
      </c>
      <c r="F37" s="18">
        <v>4.76</v>
      </c>
      <c r="G37" s="18">
        <f>420*0.21</f>
        <v>88.2</v>
      </c>
      <c r="H37" s="18">
        <f>6.9*0.21</f>
        <v>1.4490000000000001</v>
      </c>
      <c r="I37" s="18">
        <f>14.7*0.21</f>
        <v>3.0869999999999997</v>
      </c>
      <c r="J37" s="29">
        <f>65*0.21</f>
        <v>13.65</v>
      </c>
    </row>
    <row r="38" spans="1:10" ht="16.5" thickBot="1" x14ac:dyDescent="0.3">
      <c r="A38" s="56" t="s">
        <v>15</v>
      </c>
      <c r="B38" s="62"/>
      <c r="C38" s="62"/>
      <c r="D38" s="62"/>
      <c r="E38" s="70"/>
      <c r="F38" s="19">
        <f>SUM(F36:F37)</f>
        <v>7</v>
      </c>
      <c r="G38" s="19">
        <f>SUM(G36:G37)</f>
        <v>148.19999999999999</v>
      </c>
      <c r="H38" s="19">
        <f t="shared" ref="H38:J38" si="2">SUM(H36:H37)</f>
        <v>1.5190000000000001</v>
      </c>
      <c r="I38" s="19">
        <f t="shared" si="2"/>
        <v>3.1069999999999998</v>
      </c>
      <c r="J38" s="19">
        <f t="shared" si="2"/>
        <v>28.65</v>
      </c>
    </row>
    <row r="39" spans="1:10" x14ac:dyDescent="0.25">
      <c r="A39" s="55" t="s">
        <v>37</v>
      </c>
      <c r="B39" s="20" t="s">
        <v>16</v>
      </c>
      <c r="C39" s="21" t="s">
        <v>47</v>
      </c>
      <c r="D39" s="21" t="s">
        <v>59</v>
      </c>
      <c r="E39" s="13" t="s">
        <v>56</v>
      </c>
      <c r="F39" s="14">
        <v>14.01</v>
      </c>
      <c r="G39" s="14">
        <f>468*0.25+211*0.1</f>
        <v>138.1</v>
      </c>
      <c r="H39" s="14">
        <f>9.54*0.25+21.1*0.1</f>
        <v>4.4950000000000001</v>
      </c>
      <c r="I39" s="14">
        <f>20.31*0.25+13.6*0.1</f>
        <v>6.4375</v>
      </c>
      <c r="J39" s="15">
        <f>51.98*0.25+0</f>
        <v>12.994999999999999</v>
      </c>
    </row>
    <row r="40" spans="1:10" x14ac:dyDescent="0.25">
      <c r="A40" s="55"/>
      <c r="B40" s="7" t="s">
        <v>13</v>
      </c>
      <c r="C40" s="5" t="s">
        <v>48</v>
      </c>
      <c r="D40" s="5" t="s">
        <v>49</v>
      </c>
      <c r="E40" s="16" t="s">
        <v>64</v>
      </c>
      <c r="F40" s="6">
        <v>24.47</v>
      </c>
      <c r="G40" s="24">
        <f>383/50*25</f>
        <v>191.5</v>
      </c>
      <c r="H40" s="24">
        <f>12.3/50*25</f>
        <v>6.15</v>
      </c>
      <c r="I40" s="24">
        <f>29.5/50*25</f>
        <v>14.75</v>
      </c>
      <c r="J40" s="25">
        <f>16.58/50*25</f>
        <v>8.2899999999999991</v>
      </c>
    </row>
    <row r="41" spans="1:10" x14ac:dyDescent="0.25">
      <c r="A41" s="55"/>
      <c r="B41" s="7" t="s">
        <v>18</v>
      </c>
      <c r="C41" s="5" t="s">
        <v>53</v>
      </c>
      <c r="D41" s="5" t="s">
        <v>54</v>
      </c>
      <c r="E41" s="16" t="s">
        <v>55</v>
      </c>
      <c r="F41" s="6">
        <v>3.74</v>
      </c>
      <c r="G41" s="6">
        <v>62</v>
      </c>
      <c r="H41" s="6">
        <v>0.13</v>
      </c>
      <c r="I41" s="6">
        <v>0.02</v>
      </c>
      <c r="J41" s="8">
        <v>15.2</v>
      </c>
    </row>
    <row r="42" spans="1:10" ht="15.75" thickBot="1" x14ac:dyDescent="0.3">
      <c r="A42" s="55"/>
      <c r="B42" s="9" t="s">
        <v>14</v>
      </c>
      <c r="C42" s="10" t="s">
        <v>32</v>
      </c>
      <c r="D42" s="10" t="s">
        <v>33</v>
      </c>
      <c r="E42" s="17">
        <v>72</v>
      </c>
      <c r="F42" s="18">
        <v>2.78</v>
      </c>
      <c r="G42" s="18">
        <f>229.7*0.72</f>
        <v>165.38399999999999</v>
      </c>
      <c r="H42" s="11">
        <f>6.7*0.72</f>
        <v>4.8239999999999998</v>
      </c>
      <c r="I42" s="11">
        <f>1.1*0.72</f>
        <v>0.79200000000000004</v>
      </c>
      <c r="J42" s="12">
        <f>48.3*0.72</f>
        <v>34.775999999999996</v>
      </c>
    </row>
    <row r="43" spans="1:10" ht="16.5" thickBot="1" x14ac:dyDescent="0.3">
      <c r="A43" s="56" t="s">
        <v>15</v>
      </c>
      <c r="B43" s="57"/>
      <c r="C43" s="57"/>
      <c r="D43" s="57"/>
      <c r="E43" s="58"/>
      <c r="F43" s="22">
        <f>SUM(F39:F42)</f>
        <v>45</v>
      </c>
      <c r="G43" s="22">
        <f>SUM(G39:G42)</f>
        <v>556.98400000000004</v>
      </c>
      <c r="H43" s="22">
        <f>SUM(H39:H42)</f>
        <v>15.599</v>
      </c>
      <c r="I43" s="22">
        <f>SUM(I39:I42)</f>
        <v>21.999500000000001</v>
      </c>
      <c r="J43" s="22">
        <f>SUM(J39:J42)</f>
        <v>71.260999999999996</v>
      </c>
    </row>
    <row r="44" spans="1:10" x14ac:dyDescent="0.25">
      <c r="A44" s="59" t="s">
        <v>52</v>
      </c>
      <c r="B44" s="20" t="s">
        <v>31</v>
      </c>
      <c r="C44" s="21" t="s">
        <v>65</v>
      </c>
      <c r="D44" s="21" t="s">
        <v>66</v>
      </c>
      <c r="E44" s="13">
        <v>75</v>
      </c>
      <c r="F44" s="14">
        <v>4.3899999999999997</v>
      </c>
      <c r="G44" s="14">
        <f>604*0.06</f>
        <v>36.24</v>
      </c>
      <c r="H44" s="14">
        <f>13.12*0.06</f>
        <v>0.7871999999999999</v>
      </c>
      <c r="I44" s="14">
        <f>32.49*0.06</f>
        <v>1.9494</v>
      </c>
      <c r="J44" s="15">
        <f>64.66*0.06</f>
        <v>3.8795999999999995</v>
      </c>
    </row>
    <row r="45" spans="1:10" x14ac:dyDescent="0.25">
      <c r="A45" s="59"/>
      <c r="B45" s="7" t="s">
        <v>16</v>
      </c>
      <c r="C45" s="5" t="s">
        <v>47</v>
      </c>
      <c r="D45" s="5" t="s">
        <v>59</v>
      </c>
      <c r="E45" s="16" t="s">
        <v>56</v>
      </c>
      <c r="F45" s="6">
        <v>14.01</v>
      </c>
      <c r="G45" s="6">
        <f>468*0.25+211*0.1</f>
        <v>138.1</v>
      </c>
      <c r="H45" s="6">
        <f>9.54*0.25+21.1*0.1</f>
        <v>4.4950000000000001</v>
      </c>
      <c r="I45" s="6">
        <f>20.31*0.25+13.6*0.1</f>
        <v>6.4375</v>
      </c>
      <c r="J45" s="8">
        <f>51.98*0.25+0</f>
        <v>12.994999999999999</v>
      </c>
    </row>
    <row r="46" spans="1:10" x14ac:dyDescent="0.25">
      <c r="A46" s="59"/>
      <c r="B46" s="7" t="s">
        <v>13</v>
      </c>
      <c r="C46" s="5" t="s">
        <v>48</v>
      </c>
      <c r="D46" s="5" t="s">
        <v>49</v>
      </c>
      <c r="E46" s="16" t="s">
        <v>50</v>
      </c>
      <c r="F46" s="6">
        <v>48.94</v>
      </c>
      <c r="G46" s="24">
        <f>383</f>
        <v>383</v>
      </c>
      <c r="H46" s="24">
        <f>12.3</f>
        <v>12.3</v>
      </c>
      <c r="I46" s="24">
        <f>29.5</f>
        <v>29.5</v>
      </c>
      <c r="J46" s="25">
        <f>16.58</f>
        <v>16.579999999999998</v>
      </c>
    </row>
    <row r="47" spans="1:10" x14ac:dyDescent="0.25">
      <c r="A47" s="59"/>
      <c r="B47" s="7" t="s">
        <v>18</v>
      </c>
      <c r="C47" s="5" t="s">
        <v>19</v>
      </c>
      <c r="D47" s="5" t="s">
        <v>20</v>
      </c>
      <c r="E47" s="16" t="s">
        <v>34</v>
      </c>
      <c r="F47" s="6">
        <v>2.21</v>
      </c>
      <c r="G47" s="6">
        <v>60</v>
      </c>
      <c r="H47" s="6">
        <v>7.0000000000000007E-2</v>
      </c>
      <c r="I47" s="6">
        <v>0.02</v>
      </c>
      <c r="J47" s="8">
        <v>15</v>
      </c>
    </row>
    <row r="48" spans="1:10" x14ac:dyDescent="0.25">
      <c r="A48" s="59"/>
      <c r="B48" s="7" t="s">
        <v>21</v>
      </c>
      <c r="C48" s="5" t="s">
        <v>73</v>
      </c>
      <c r="D48" s="5" t="s">
        <v>74</v>
      </c>
      <c r="E48" s="16">
        <v>50</v>
      </c>
      <c r="F48" s="6">
        <v>7.14</v>
      </c>
      <c r="G48" s="6">
        <v>198.6</v>
      </c>
      <c r="H48" s="44">
        <v>4.0999999999999996</v>
      </c>
      <c r="I48" s="44">
        <v>7.7</v>
      </c>
      <c r="J48" s="45">
        <v>28.2</v>
      </c>
    </row>
    <row r="49" spans="1:10" ht="15.75" thickBot="1" x14ac:dyDescent="0.3">
      <c r="A49" s="59"/>
      <c r="B49" s="7" t="s">
        <v>14</v>
      </c>
      <c r="C49" s="5" t="s">
        <v>32</v>
      </c>
      <c r="D49" s="5" t="s">
        <v>33</v>
      </c>
      <c r="E49" s="16">
        <v>8</v>
      </c>
      <c r="F49" s="6">
        <v>0.31</v>
      </c>
      <c r="G49" s="6">
        <f>229.7*0.08</f>
        <v>18.376000000000001</v>
      </c>
      <c r="H49" s="44">
        <f>6.7*0.08</f>
        <v>0.53600000000000003</v>
      </c>
      <c r="I49" s="44">
        <f>1.1*0.08</f>
        <v>8.8000000000000009E-2</v>
      </c>
      <c r="J49" s="45">
        <f>48.3*0.08</f>
        <v>3.8639999999999999</v>
      </c>
    </row>
    <row r="50" spans="1:10" ht="16.5" thickBot="1" x14ac:dyDescent="0.3">
      <c r="A50" s="56" t="s">
        <v>15</v>
      </c>
      <c r="B50" s="57"/>
      <c r="C50" s="57"/>
      <c r="D50" s="57"/>
      <c r="E50" s="58"/>
      <c r="F50" s="22">
        <f>SUM(F44:F49)</f>
        <v>77</v>
      </c>
      <c r="G50" s="22">
        <f t="shared" ref="G50:J50" si="3">SUM(G44:G49)</f>
        <v>834.31600000000003</v>
      </c>
      <c r="H50" s="22">
        <f t="shared" si="3"/>
        <v>22.288200000000003</v>
      </c>
      <c r="I50" s="22">
        <f t="shared" si="3"/>
        <v>45.694900000000004</v>
      </c>
      <c r="J50" s="22">
        <f t="shared" si="3"/>
        <v>80.518600000000006</v>
      </c>
    </row>
    <row r="51" spans="1:10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</row>
    <row r="52" spans="1:10" ht="15.75" thickBot="1" x14ac:dyDescent="0.3">
      <c r="A52" s="60" t="s">
        <v>25</v>
      </c>
      <c r="B52" s="60"/>
      <c r="C52" s="60"/>
      <c r="D52" s="60"/>
      <c r="E52" s="60"/>
      <c r="F52" s="60"/>
      <c r="G52" s="60"/>
      <c r="H52" s="60"/>
      <c r="I52" s="60"/>
      <c r="J52" s="60"/>
    </row>
    <row r="53" spans="1:10" ht="15.75" x14ac:dyDescent="0.25">
      <c r="A53" s="23"/>
      <c r="B53" s="23"/>
      <c r="C53" s="52" t="s">
        <v>23</v>
      </c>
      <c r="D53" s="52"/>
      <c r="E53" s="46"/>
      <c r="F53" s="46"/>
      <c r="G53" s="53"/>
      <c r="H53" s="53"/>
      <c r="I53" s="53"/>
      <c r="J53" s="53"/>
    </row>
    <row r="54" spans="1:10" x14ac:dyDescent="0.25">
      <c r="A54" s="1"/>
      <c r="B54" s="1"/>
      <c r="C54" s="1"/>
      <c r="D54" s="1"/>
      <c r="E54" s="46"/>
      <c r="F54" s="46"/>
      <c r="G54" s="46"/>
      <c r="H54" s="46"/>
      <c r="I54" s="46"/>
      <c r="J54" s="46"/>
    </row>
    <row r="55" spans="1:10" x14ac:dyDescent="0.25">
      <c r="A55" s="54" t="s">
        <v>24</v>
      </c>
      <c r="B55" s="54"/>
      <c r="C55" s="46"/>
      <c r="D55" s="46"/>
      <c r="E55" s="46"/>
      <c r="F55" s="46"/>
      <c r="G55" s="46"/>
      <c r="H55" s="46"/>
      <c r="I55" s="46"/>
      <c r="J55" s="46"/>
    </row>
    <row r="56" spans="1:10" x14ac:dyDescent="0.25">
      <c r="A56" s="54" t="s">
        <v>26</v>
      </c>
      <c r="B56" s="54"/>
      <c r="C56" s="46"/>
      <c r="D56" s="46"/>
      <c r="E56" s="46"/>
      <c r="F56" s="46"/>
      <c r="G56" s="46"/>
      <c r="H56" s="46"/>
      <c r="I56" s="46"/>
      <c r="J56" s="46"/>
    </row>
  </sheetData>
  <mergeCells count="25">
    <mergeCell ref="A25:A29"/>
    <mergeCell ref="A22:A23"/>
    <mergeCell ref="A24:E24"/>
    <mergeCell ref="B1:C1"/>
    <mergeCell ref="G1:J1"/>
    <mergeCell ref="A9:E9"/>
    <mergeCell ref="A10:A13"/>
    <mergeCell ref="A14:E14"/>
    <mergeCell ref="A21:E21"/>
    <mergeCell ref="A3:A8"/>
    <mergeCell ref="A15:A20"/>
    <mergeCell ref="A30:E30"/>
    <mergeCell ref="A31:A34"/>
    <mergeCell ref="A35:E35"/>
    <mergeCell ref="A36:A37"/>
    <mergeCell ref="A38:E38"/>
    <mergeCell ref="C53:D53"/>
    <mergeCell ref="G53:J53"/>
    <mergeCell ref="A55:B55"/>
    <mergeCell ref="A56:B56"/>
    <mergeCell ref="A39:A42"/>
    <mergeCell ref="A43:E43"/>
    <mergeCell ref="A44:A49"/>
    <mergeCell ref="A50:E50"/>
    <mergeCell ref="A52:J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2022-12-07T13:06:47Z</dcterms:modified>
</cp:coreProperties>
</file>