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H49" i="1"/>
  <c r="G49" i="1"/>
  <c r="J46" i="1"/>
  <c r="I46" i="1"/>
  <c r="H46" i="1"/>
  <c r="G46" i="1"/>
  <c r="J45" i="1"/>
  <c r="I45" i="1"/>
  <c r="H45" i="1"/>
  <c r="G45" i="1"/>
  <c r="J43" i="1"/>
  <c r="I43" i="1"/>
  <c r="H43" i="1"/>
  <c r="G43" i="1"/>
  <c r="J41" i="1"/>
  <c r="I41" i="1"/>
  <c r="H41" i="1"/>
  <c r="G41" i="1"/>
  <c r="J37" i="1"/>
  <c r="I37" i="1"/>
  <c r="H37" i="1"/>
  <c r="G37" i="1"/>
  <c r="J35" i="1" l="1"/>
  <c r="I35" i="1"/>
  <c r="H35" i="1"/>
  <c r="G35" i="1"/>
  <c r="J33" i="1"/>
  <c r="I33" i="1"/>
  <c r="H33" i="1"/>
  <c r="G33" i="1"/>
  <c r="J31" i="1"/>
  <c r="I31" i="1"/>
  <c r="H31" i="1"/>
  <c r="G31" i="1"/>
  <c r="J28" i="1" l="1"/>
  <c r="I28" i="1"/>
  <c r="H28" i="1"/>
  <c r="G28" i="1"/>
  <c r="J26" i="1"/>
  <c r="I26" i="1"/>
  <c r="H26" i="1"/>
  <c r="G26" i="1"/>
  <c r="J24" i="1" l="1"/>
  <c r="I24" i="1"/>
  <c r="H24" i="1"/>
  <c r="G24" i="1"/>
  <c r="J22" i="1" l="1"/>
  <c r="I22" i="1"/>
  <c r="H22" i="1"/>
  <c r="G22" i="1"/>
  <c r="J20" i="1"/>
  <c r="I20" i="1"/>
  <c r="H20" i="1"/>
  <c r="G20" i="1"/>
  <c r="J15" i="1" l="1"/>
  <c r="I15" i="1"/>
  <c r="H15" i="1"/>
  <c r="G15" i="1"/>
  <c r="J13" i="1" l="1"/>
  <c r="I13" i="1"/>
  <c r="H13" i="1"/>
  <c r="G13" i="1"/>
  <c r="J11" i="1"/>
  <c r="I11" i="1"/>
  <c r="H11" i="1"/>
  <c r="G11" i="1"/>
  <c r="J8" i="1"/>
  <c r="I8" i="1"/>
  <c r="H8" i="1"/>
  <c r="G8" i="1"/>
  <c r="J3" i="1"/>
  <c r="I3" i="1"/>
  <c r="H3" i="1"/>
  <c r="G3" i="1"/>
  <c r="J7" i="1"/>
  <c r="I7" i="1"/>
  <c r="H7" i="1"/>
  <c r="G7" i="1"/>
  <c r="J4" i="1" l="1"/>
  <c r="I4" i="1"/>
  <c r="H4" i="1"/>
  <c r="G4" i="1"/>
  <c r="F50" i="1" l="1"/>
  <c r="J50" i="1"/>
  <c r="I50" i="1"/>
  <c r="H50" i="1"/>
  <c r="G50" i="1"/>
  <c r="F44" i="1"/>
  <c r="J40" i="1"/>
  <c r="J44" i="1" s="1"/>
  <c r="I40" i="1"/>
  <c r="I44" i="1" s="1"/>
  <c r="H40" i="1"/>
  <c r="H44" i="1" s="1"/>
  <c r="G40" i="1"/>
  <c r="G44" i="1" s="1"/>
  <c r="F39" i="1"/>
  <c r="J39" i="1"/>
  <c r="I39" i="1"/>
  <c r="H39" i="1"/>
  <c r="G39" i="1"/>
  <c r="F36" i="1"/>
  <c r="J36" i="1"/>
  <c r="I36" i="1"/>
  <c r="H36" i="1"/>
  <c r="G36" i="1"/>
  <c r="F32" i="1"/>
  <c r="J27" i="1"/>
  <c r="I27" i="1"/>
  <c r="H27" i="1"/>
  <c r="G27" i="1"/>
  <c r="J32" i="1"/>
  <c r="I32" i="1"/>
  <c r="H32" i="1"/>
  <c r="G32" i="1"/>
  <c r="F21" i="1" l="1"/>
  <c r="F9" i="1" l="1"/>
  <c r="J17" i="1" l="1"/>
  <c r="I17" i="1"/>
  <c r="H17" i="1"/>
  <c r="G17" i="1"/>
  <c r="J5" i="1"/>
  <c r="J9" i="1" s="1"/>
  <c r="I5" i="1"/>
  <c r="I9" i="1" s="1"/>
  <c r="H5" i="1"/>
  <c r="H9" i="1" s="1"/>
  <c r="G5" i="1"/>
  <c r="G9" i="1" s="1"/>
  <c r="J16" i="1" l="1"/>
  <c r="I16" i="1"/>
  <c r="H16" i="1"/>
  <c r="G16" i="1"/>
  <c r="J10" i="1"/>
  <c r="I10" i="1"/>
  <c r="H10" i="1"/>
  <c r="G10" i="1"/>
  <c r="F14" i="1" l="1"/>
  <c r="J21" i="1" l="1"/>
  <c r="I21" i="1"/>
  <c r="H21" i="1"/>
  <c r="G21" i="1"/>
  <c r="J14" i="1" l="1"/>
  <c r="I14" i="1"/>
  <c r="H14" i="1"/>
  <c r="G14" i="1"/>
  <c r="F25" i="1"/>
  <c r="J25" i="1"/>
  <c r="I25" i="1"/>
  <c r="H25" i="1"/>
  <c r="G25" i="1"/>
</calcChain>
</file>

<file path=xl/sharedStrings.xml><?xml version="1.0" encoding="utf-8"?>
<sst xmlns="http://schemas.openxmlformats.org/spreadsheetml/2006/main" count="170" uniqueCount="80">
  <si>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</si>
  <si>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</si>
  <si>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</si>
  <si>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</si>
  <si>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</si>
  <si>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</si>
  <si>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</si>
  <si>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</si>
  <si>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</si>
  <si>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</si>
  <si>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</si>
  <si>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</si>
  <si>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</si>
  <si>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</si>
  <si>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</si>
  <si>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</si>
  <si>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</si>
  <si>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</si>
  <si>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</si>
  <si>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</si>
  <si>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</si>
  <si>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</si>
  <si>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</si>
  <si>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</si>
  <si>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</si>
  <si>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</si>
  <si>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</si>
  <si>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</si>
  <si>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</si>
  <si>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</si>
  <si>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</si>
  <si>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</si>
  <si>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</si>
  <si>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</si>
  <si>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</si>
  <si>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</si>
  <si>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</si>
  <si>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</si>
  <si>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№309-2015г.</t>
  </si>
  <si>
    <t>Кондитерское изделие</t>
  </si>
  <si>
    <t>ПР</t>
  </si>
  <si>
    <t>№71-2015г.</t>
  </si>
  <si>
    <t>250/10/2</t>
  </si>
  <si>
    <t>Макароны отварные</t>
  </si>
  <si>
    <t>№82-2015г.</t>
  </si>
  <si>
    <t>Борщ со свежей капустой и картофелем со сметаной и зеленью</t>
  </si>
  <si>
    <t>ТТК №20</t>
  </si>
  <si>
    <t>№3-2015г.</t>
  </si>
  <si>
    <t>Бутерброд с сыром</t>
  </si>
  <si>
    <t>50/125</t>
  </si>
  <si>
    <t>Макароны отварные с сыром</t>
  </si>
  <si>
    <t>Котлета "Особая" из говядины и свинины</t>
  </si>
  <si>
    <t>№269-2015г.</t>
  </si>
  <si>
    <t>Напиток</t>
  </si>
  <si>
    <t>Овощи натуральные свежие (помидоры)</t>
  </si>
  <si>
    <t>№306-2015г.</t>
  </si>
  <si>
    <t xml:space="preserve">Бобовые отварные (кукуруза сахарная консервированная) </t>
  </si>
  <si>
    <t>ТТК №6</t>
  </si>
  <si>
    <t>Булочка "Рулетик с маком"</t>
  </si>
  <si>
    <t>Плов "Школьный" из индейки</t>
  </si>
  <si>
    <t>40/100</t>
  </si>
  <si>
    <t>№424-2015г.</t>
  </si>
  <si>
    <t>Булочка домашняя</t>
  </si>
  <si>
    <t>№382-2015г.</t>
  </si>
  <si>
    <t>Какао с молоком</t>
  </si>
  <si>
    <t>Зефир фруктовый</t>
  </si>
  <si>
    <t>23/57,5</t>
  </si>
  <si>
    <t>№388-2015г.</t>
  </si>
  <si>
    <t>Напиток из плодов шиповника</t>
  </si>
  <si>
    <t>20/5/35</t>
  </si>
  <si>
    <t>Пряник</t>
  </si>
  <si>
    <t>№686-2004г.</t>
  </si>
  <si>
    <t>Чай с лимоном</t>
  </si>
  <si>
    <t>200/15/7</t>
  </si>
  <si>
    <t>150/8</t>
  </si>
  <si>
    <t>№2-2015г.</t>
  </si>
  <si>
    <t>Бутерброд с повидлом</t>
  </si>
  <si>
    <t>25/30</t>
  </si>
  <si>
    <t>Завтрак 5-11 кл с доплатой 70,00 руб. и льготники с доплатой 50,00 руб.; ДМГ 77,00 1 смена</t>
  </si>
  <si>
    <t>Обед 6-7 кл. с доплатой 70,00 руб. и льготники с доплатой 50,00 руб.; ДМГ 77,00 2-я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</si>
</sst>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/>
    <xf numFmtId="2" fontId="7" fillId="0" borderId="2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2" fontId="6" fillId="0" borderId="4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2" fontId="6" fillId="0" borderId="14" xfId="0" applyNumberFormat="1" applyFont="1" applyBorder="1" applyAlignment="1">
      <alignment vertical="center" wrapText="1"/>
    </xf>
    <xf numFmtId="2" fontId="6" fillId="0" borderId="15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right" vertical="center" wrapText="1"/>
    </xf>
    <xf numFmtId="2" fontId="6" fillId="0" borderId="9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2" fontId="6" fillId="0" borderId="14" xfId="0" applyNumberFormat="1" applyFont="1" applyBorder="1" applyAlignment="1">
      <alignment horizontal="right" vertical="center" wrapText="1"/>
    </xf>
    <xf numFmtId="2" fontId="7" fillId="0" borderId="7" xfId="0" applyNumberFormat="1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2" fontId="10" fillId="0" borderId="4" xfId="0" applyNumberFormat="1" applyFont="1" applyBorder="1" applyAlignment="1">
      <alignment horizontal="right" vertical="center" wrapText="1"/>
    </xf>
    <xf numFmtId="2" fontId="10" fillId="0" borderId="12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/>
    <xf numFmtId="2" fontId="6" fillId="0" borderId="15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/>
    <xf numFmtId="0" fontId="6" fillId="0" borderId="28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/>
    <xf numFmtId="0" fontId="6" fillId="0" borderId="9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right" vertical="center" wrapText="1"/>
    </xf>
    <xf numFmtId="2" fontId="10" fillId="0" borderId="4" xfId="1" applyNumberFormat="1" applyFont="1" applyBorder="1" applyAlignment="1">
      <alignment horizontal="right" vertical="center" wrapText="1"/>
    </xf>
    <xf numFmtId="0" fontId="6" fillId="0" borderId="0" xfId="0" applyFont="1"/>
    <xf numFmtId="2" fontId="10" fillId="0" borderId="12" xfId="1" applyNumberFormat="1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0" fontId="12" fillId="0" borderId="4" xfId="1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vertical="center" wrapText="1"/>
    </xf>
    <xf numFmtId="2" fontId="10" fillId="0" borderId="9" xfId="0" applyNumberFormat="1" applyFont="1" applyBorder="1" applyAlignment="1">
      <alignment horizontal="right" vertical="center" wrapText="1"/>
    </xf>
    <xf numFmtId="2" fontId="10" fillId="0" borderId="10" xfId="0" applyNumberFormat="1" applyFont="1" applyBorder="1" applyAlignment="1">
      <alignment horizontal="right" vertical="center" wrapText="1"/>
    </xf>
    <xf numFmtId="2" fontId="6" fillId="0" borderId="9" xfId="2" applyNumberFormat="1" applyFont="1" applyBorder="1" applyAlignment="1">
      <alignment horizontal="right" vertical="center" wrapText="1"/>
    </xf>
    <xf numFmtId="2" fontId="6" fillId="0" borderId="10" xfId="2" applyNumberFormat="1" applyFont="1" applyBorder="1" applyAlignment="1">
      <alignment horizontal="right" vertical="center" wrapText="1"/>
    </xf>
    <xf numFmtId="0" fontId="6" fillId="0" borderId="0" xfId="0" applyFont="1"/>
    <xf numFmtId="0" fontId="6" fillId="0" borderId="0" xfId="0" applyFont="1"/>
    <xf numFmtId="2" fontId="6" fillId="0" borderId="12" xfId="0" applyNumberFormat="1" applyFont="1" applyBorder="1" applyAlignment="1">
      <alignment vertical="center" wrapText="1"/>
    </xf>
    <xf numFmtId="0" fontId="6" fillId="0" borderId="9" xfId="2" applyFont="1" applyBorder="1" applyAlignment="1">
      <alignment horizontal="left" vertical="center" wrapText="1"/>
    </xf>
    <xf numFmtId="2" fontId="7" fillId="0" borderId="24" xfId="0" applyNumberFormat="1" applyFont="1" applyBorder="1" applyAlignment="1">
      <alignment vertical="center" wrapText="1"/>
    </xf>
    <xf numFmtId="2" fontId="7" fillId="0" borderId="35" xfId="0" applyNumberFormat="1" applyFont="1" applyBorder="1" applyAlignment="1">
      <alignment vertical="center" wrapText="1"/>
    </xf>
    <xf numFmtId="0" fontId="6" fillId="0" borderId="0" xfId="0" applyFont="1"/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4 2" xfId="6"/>
    <cellStyle name="Обычный 2 5" xfId="5"/>
    <cellStyle name="Обычный 2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37" workbookViewId="0">
      <selection activeCell="A50" sqref="A50:E50"/>
    </sheetView>
  </sheetViews>
  <sheetFormatPr defaultRowHeight="15" x14ac:dyDescent="0.25"/>
  <cols>
    <col min="1" max="1" width="20.140625" style="2" customWidth="1"/>
    <col min="2" max="2" width="24.710937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0" t="s">
        <v>22</v>
      </c>
      <c r="C1" s="61"/>
      <c r="D1" s="1" t="s">
        <v>1</v>
      </c>
      <c r="E1" s="26"/>
      <c r="F1" s="1" t="s">
        <v>2</v>
      </c>
      <c r="G1" s="62">
        <v>44904</v>
      </c>
      <c r="H1" s="63"/>
      <c r="I1" s="63"/>
      <c r="J1" s="64"/>
      <c r="K1" s="1"/>
      <c r="L1" s="1"/>
    </row>
    <row r="2" spans="1:12" ht="15.75" thickBot="1" x14ac:dyDescent="0.3">
      <c r="A2" s="30" t="s">
        <v>3</v>
      </c>
      <c r="B2" s="5" t="s">
        <v>4</v>
      </c>
      <c r="C2" s="31" t="s">
        <v>5</v>
      </c>
      <c r="D2" s="34" t="s">
        <v>6</v>
      </c>
      <c r="E2" s="34" t="s">
        <v>7</v>
      </c>
      <c r="F2" s="34" t="s">
        <v>8</v>
      </c>
      <c r="G2" s="5" t="s">
        <v>9</v>
      </c>
      <c r="H2" s="5" t="s">
        <v>10</v>
      </c>
      <c r="I2" s="5" t="s">
        <v>11</v>
      </c>
      <c r="J2" s="32" t="s">
        <v>12</v>
      </c>
    </row>
    <row r="3" spans="1:12" ht="15" customHeight="1" x14ac:dyDescent="0.25">
      <c r="A3" s="75" t="s">
        <v>27</v>
      </c>
      <c r="B3" s="44" t="s">
        <v>31</v>
      </c>
      <c r="C3" s="37" t="s">
        <v>55</v>
      </c>
      <c r="D3" s="37" t="s">
        <v>56</v>
      </c>
      <c r="E3" s="14">
        <v>17</v>
      </c>
      <c r="F3" s="15">
        <v>10.06</v>
      </c>
      <c r="G3" s="15">
        <f>736*0.017</f>
        <v>12.512</v>
      </c>
      <c r="H3" s="15">
        <f>20.55*0.017</f>
        <v>0.34935000000000005</v>
      </c>
      <c r="I3" s="15">
        <f>29.1*0.017</f>
        <v>0.49470000000000008</v>
      </c>
      <c r="J3" s="16">
        <f>97.89*0.017</f>
        <v>1.6641300000000001</v>
      </c>
    </row>
    <row r="4" spans="1:12" s="59" customFormat="1" ht="15" customHeight="1" x14ac:dyDescent="0.25">
      <c r="A4" s="75"/>
      <c r="B4" s="8" t="s">
        <v>13</v>
      </c>
      <c r="C4" s="6" t="s">
        <v>52</v>
      </c>
      <c r="D4" s="47" t="s">
        <v>51</v>
      </c>
      <c r="E4" s="17">
        <v>60</v>
      </c>
      <c r="F4" s="7">
        <v>39.86</v>
      </c>
      <c r="G4" s="24">
        <f>144*1.2</f>
        <v>172.79999999999998</v>
      </c>
      <c r="H4" s="40">
        <f>8.37*1.2</f>
        <v>10.043999999999999</v>
      </c>
      <c r="I4" s="40">
        <f>9.17*1.2</f>
        <v>11.004</v>
      </c>
      <c r="J4" s="42">
        <f>6.56*1.2</f>
        <v>7.871999999999999</v>
      </c>
    </row>
    <row r="5" spans="1:12" s="41" customFormat="1" x14ac:dyDescent="0.25">
      <c r="A5" s="75"/>
      <c r="B5" s="8" t="s">
        <v>17</v>
      </c>
      <c r="C5" s="6" t="s">
        <v>38</v>
      </c>
      <c r="D5" s="6" t="s">
        <v>43</v>
      </c>
      <c r="E5" s="17">
        <v>120</v>
      </c>
      <c r="F5" s="7">
        <v>12.06</v>
      </c>
      <c r="G5" s="45">
        <f>112.3*1.2</f>
        <v>134.76</v>
      </c>
      <c r="H5" s="45">
        <f>3.68*1.2</f>
        <v>4.4160000000000004</v>
      </c>
      <c r="I5" s="45">
        <f>3.01*1.2</f>
        <v>3.6119999999999997</v>
      </c>
      <c r="J5" s="46">
        <f>17.63*1.2</f>
        <v>21.155999999999999</v>
      </c>
      <c r="K5"/>
    </row>
    <row r="6" spans="1:12" s="27" customFormat="1" x14ac:dyDescent="0.25">
      <c r="A6" s="75"/>
      <c r="B6" s="8" t="s">
        <v>18</v>
      </c>
      <c r="C6" s="6" t="s">
        <v>63</v>
      </c>
      <c r="D6" s="6" t="s">
        <v>64</v>
      </c>
      <c r="E6" s="17">
        <v>200</v>
      </c>
      <c r="F6" s="7">
        <v>18.079999999999998</v>
      </c>
      <c r="G6" s="7">
        <v>136</v>
      </c>
      <c r="H6" s="7">
        <v>3.64</v>
      </c>
      <c r="I6" s="7">
        <v>3.35</v>
      </c>
      <c r="J6" s="9">
        <v>22.82</v>
      </c>
      <c r="K6"/>
    </row>
    <row r="7" spans="1:12" s="53" customFormat="1" x14ac:dyDescent="0.25">
      <c r="A7" s="75"/>
      <c r="B7" s="8" t="s">
        <v>39</v>
      </c>
      <c r="C7" s="6" t="s">
        <v>40</v>
      </c>
      <c r="D7" s="6" t="s">
        <v>65</v>
      </c>
      <c r="E7" s="17">
        <v>60</v>
      </c>
      <c r="F7" s="7">
        <v>15.54</v>
      </c>
      <c r="G7" s="7">
        <f>330*0.6</f>
        <v>198</v>
      </c>
      <c r="H7" s="7">
        <f>1*0.6</f>
        <v>0.6</v>
      </c>
      <c r="I7" s="7">
        <f>0</f>
        <v>0</v>
      </c>
      <c r="J7" s="9">
        <f>81*0.6</f>
        <v>48.6</v>
      </c>
    </row>
    <row r="8" spans="1:12" s="54" customFormat="1" ht="15.75" thickBot="1" x14ac:dyDescent="0.3">
      <c r="A8" s="75"/>
      <c r="B8" s="10" t="s">
        <v>14</v>
      </c>
      <c r="C8" s="11" t="s">
        <v>32</v>
      </c>
      <c r="D8" s="11" t="s">
        <v>33</v>
      </c>
      <c r="E8" s="18">
        <v>40</v>
      </c>
      <c r="F8" s="19">
        <v>1.55</v>
      </c>
      <c r="G8" s="19">
        <f>229.7*0.4</f>
        <v>91.88</v>
      </c>
      <c r="H8" s="12">
        <f>6.7*0.4</f>
        <v>2.68</v>
      </c>
      <c r="I8" s="12">
        <f>1.1*0.4</f>
        <v>0.44000000000000006</v>
      </c>
      <c r="J8" s="13">
        <f>48.3*0.4</f>
        <v>19.32</v>
      </c>
    </row>
    <row r="9" spans="1:12" ht="16.5" thickBot="1" x14ac:dyDescent="0.3">
      <c r="A9" s="68" t="s">
        <v>15</v>
      </c>
      <c r="B9" s="69"/>
      <c r="C9" s="69"/>
      <c r="D9" s="69"/>
      <c r="E9" s="70"/>
      <c r="F9" s="48">
        <f>SUM(F3:F8)</f>
        <v>97.149999999999991</v>
      </c>
      <c r="G9" s="48">
        <f>SUM(G3:G8)</f>
        <v>745.952</v>
      </c>
      <c r="H9" s="48">
        <f>SUM(H3:H8)</f>
        <v>21.72935</v>
      </c>
      <c r="I9" s="48">
        <f>SUM(I3:I8)</f>
        <v>18.900700000000001</v>
      </c>
      <c r="J9" s="48">
        <f>SUM(J3:J8)</f>
        <v>121.43213</v>
      </c>
    </row>
    <row r="10" spans="1:12" ht="30" x14ac:dyDescent="0.25">
      <c r="A10" s="71" t="s">
        <v>28</v>
      </c>
      <c r="B10" s="21" t="s">
        <v>16</v>
      </c>
      <c r="C10" s="22" t="s">
        <v>44</v>
      </c>
      <c r="D10" s="22" t="s">
        <v>45</v>
      </c>
      <c r="E10" s="14" t="s">
        <v>42</v>
      </c>
      <c r="F10" s="15">
        <v>10.58</v>
      </c>
      <c r="G10" s="15">
        <f>415*0.25+162*0.1</f>
        <v>119.95</v>
      </c>
      <c r="H10" s="15">
        <f>7.21*0.25+2.6*0.1</f>
        <v>2.0625</v>
      </c>
      <c r="I10" s="15">
        <f>19.68*0.25+15*0.1</f>
        <v>6.42</v>
      </c>
      <c r="J10" s="16">
        <f>43.73*0.25+3.6*0.1</f>
        <v>11.292499999999999</v>
      </c>
      <c r="K10"/>
    </row>
    <row r="11" spans="1:12" x14ac:dyDescent="0.25">
      <c r="A11" s="71"/>
      <c r="B11" s="8" t="s">
        <v>13</v>
      </c>
      <c r="C11" s="6" t="s">
        <v>46</v>
      </c>
      <c r="D11" s="6" t="s">
        <v>59</v>
      </c>
      <c r="E11" s="17" t="s">
        <v>66</v>
      </c>
      <c r="F11" s="7">
        <v>27.98</v>
      </c>
      <c r="G11" s="24">
        <f>280.7/40*23</f>
        <v>161.4025</v>
      </c>
      <c r="H11" s="24">
        <f>14/40*23</f>
        <v>8.0499999999999989</v>
      </c>
      <c r="I11" s="24">
        <f>14.1/40*23</f>
        <v>8.1074999999999999</v>
      </c>
      <c r="J11" s="25">
        <f>24.5/40*23</f>
        <v>14.0875</v>
      </c>
      <c r="K11"/>
    </row>
    <row r="12" spans="1:12" s="27" customFormat="1" x14ac:dyDescent="0.25">
      <c r="A12" s="71"/>
      <c r="B12" s="8" t="s">
        <v>18</v>
      </c>
      <c r="C12" s="6" t="s">
        <v>19</v>
      </c>
      <c r="D12" s="6" t="s">
        <v>20</v>
      </c>
      <c r="E12" s="17" t="s">
        <v>34</v>
      </c>
      <c r="F12" s="7">
        <v>2.21</v>
      </c>
      <c r="G12" s="7">
        <v>60</v>
      </c>
      <c r="H12" s="7">
        <v>7.0000000000000007E-2</v>
      </c>
      <c r="I12" s="7">
        <v>0.02</v>
      </c>
      <c r="J12" s="9">
        <v>15</v>
      </c>
    </row>
    <row r="13" spans="1:12" ht="15.75" thickBot="1" x14ac:dyDescent="0.3">
      <c r="A13" s="71"/>
      <c r="B13" s="10" t="s">
        <v>14</v>
      </c>
      <c r="C13" s="11" t="s">
        <v>32</v>
      </c>
      <c r="D13" s="11" t="s">
        <v>33</v>
      </c>
      <c r="E13" s="18">
        <v>39.5</v>
      </c>
      <c r="F13" s="19">
        <v>1.52</v>
      </c>
      <c r="G13" s="19">
        <f>229.7*0.395</f>
        <v>90.731499999999997</v>
      </c>
      <c r="H13" s="12">
        <f>6.7*0.395</f>
        <v>2.6465000000000001</v>
      </c>
      <c r="I13" s="12">
        <f>1.1*0.395</f>
        <v>0.43450000000000005</v>
      </c>
      <c r="J13" s="13">
        <f>48.3*0.395</f>
        <v>19.078499999999998</v>
      </c>
    </row>
    <row r="14" spans="1:12" ht="16.5" thickBot="1" x14ac:dyDescent="0.3">
      <c r="A14" s="72" t="s">
        <v>15</v>
      </c>
      <c r="B14" s="69"/>
      <c r="C14" s="69"/>
      <c r="D14" s="69"/>
      <c r="E14" s="73"/>
      <c r="F14" s="20">
        <f>SUM(F10:F13)</f>
        <v>42.290000000000006</v>
      </c>
      <c r="G14" s="20">
        <f t="shared" ref="G14:J14" si="0">SUM(G10:G13)</f>
        <v>432.084</v>
      </c>
      <c r="H14" s="20">
        <f t="shared" si="0"/>
        <v>12.828999999999999</v>
      </c>
      <c r="I14" s="20">
        <f t="shared" si="0"/>
        <v>14.981999999999999</v>
      </c>
      <c r="J14" s="20">
        <f t="shared" si="0"/>
        <v>59.458499999999994</v>
      </c>
    </row>
    <row r="15" spans="1:12" s="41" customFormat="1" ht="15.75" x14ac:dyDescent="0.25">
      <c r="A15" s="81" t="s">
        <v>29</v>
      </c>
      <c r="B15" s="38" t="s">
        <v>31</v>
      </c>
      <c r="C15" s="37" t="s">
        <v>41</v>
      </c>
      <c r="D15" s="37" t="s">
        <v>54</v>
      </c>
      <c r="E15" s="14">
        <v>35</v>
      </c>
      <c r="F15" s="15">
        <v>5.9</v>
      </c>
      <c r="G15" s="15">
        <f>11*0.7</f>
        <v>7.6999999999999993</v>
      </c>
      <c r="H15" s="15">
        <f>0.55*0.7</f>
        <v>0.38500000000000001</v>
      </c>
      <c r="I15" s="15">
        <f>0.1*0.7</f>
        <v>6.9999999999999993E-2</v>
      </c>
      <c r="J15" s="16">
        <f>1.9*0.7</f>
        <v>1.3299999999999998</v>
      </c>
    </row>
    <row r="16" spans="1:12" s="35" customFormat="1" ht="30" x14ac:dyDescent="0.25">
      <c r="A16" s="82"/>
      <c r="B16" s="8" t="s">
        <v>16</v>
      </c>
      <c r="C16" s="6" t="s">
        <v>44</v>
      </c>
      <c r="D16" s="6" t="s">
        <v>45</v>
      </c>
      <c r="E16" s="17" t="s">
        <v>42</v>
      </c>
      <c r="F16" s="7">
        <v>10.58</v>
      </c>
      <c r="G16" s="7">
        <f>415*0.25+162*0.1</f>
        <v>119.95</v>
      </c>
      <c r="H16" s="7">
        <f>7.21*0.25+2.6*0.1</f>
        <v>2.0625</v>
      </c>
      <c r="I16" s="7">
        <f>19.68*0.25+15*0.1</f>
        <v>6.42</v>
      </c>
      <c r="J16" s="9">
        <f>43.73*0.25+3.6*0.1</f>
        <v>11.292499999999999</v>
      </c>
    </row>
    <row r="17" spans="1:11" s="36" customFormat="1" x14ac:dyDescent="0.25">
      <c r="A17" s="82"/>
      <c r="B17" s="8" t="s">
        <v>13</v>
      </c>
      <c r="C17" s="6" t="s">
        <v>46</v>
      </c>
      <c r="D17" s="6" t="s">
        <v>59</v>
      </c>
      <c r="E17" s="17" t="s">
        <v>49</v>
      </c>
      <c r="F17" s="7">
        <v>60.82</v>
      </c>
      <c r="G17" s="24">
        <f>280.7/40*50</f>
        <v>350.875</v>
      </c>
      <c r="H17" s="24">
        <f>14/40*50</f>
        <v>17.5</v>
      </c>
      <c r="I17" s="24">
        <f>14.1/40*50</f>
        <v>17.625</v>
      </c>
      <c r="J17" s="25">
        <f>24.5/40*50</f>
        <v>30.625000000000004</v>
      </c>
      <c r="K17"/>
    </row>
    <row r="18" spans="1:11" s="41" customFormat="1" ht="15" customHeight="1" x14ac:dyDescent="0.25">
      <c r="A18" s="82"/>
      <c r="B18" s="8" t="s">
        <v>53</v>
      </c>
      <c r="C18" s="6" t="s">
        <v>67</v>
      </c>
      <c r="D18" s="6" t="s">
        <v>68</v>
      </c>
      <c r="E18" s="17">
        <v>200</v>
      </c>
      <c r="F18" s="7">
        <v>11.06</v>
      </c>
      <c r="G18" s="7">
        <v>88.2</v>
      </c>
      <c r="H18" s="7">
        <v>0.68</v>
      </c>
      <c r="I18" s="7">
        <v>0.28000000000000003</v>
      </c>
      <c r="J18" s="9">
        <v>20.76</v>
      </c>
    </row>
    <row r="19" spans="1:11" s="33" customFormat="1" x14ac:dyDescent="0.25">
      <c r="A19" s="82"/>
      <c r="B19" s="8" t="s">
        <v>21</v>
      </c>
      <c r="C19" s="6" t="s">
        <v>57</v>
      </c>
      <c r="D19" s="6" t="s">
        <v>58</v>
      </c>
      <c r="E19" s="17">
        <v>50</v>
      </c>
      <c r="F19" s="7">
        <v>7.14</v>
      </c>
      <c r="G19" s="7">
        <v>198.6</v>
      </c>
      <c r="H19" s="43">
        <v>4.0999999999999996</v>
      </c>
      <c r="I19" s="43">
        <v>7.7</v>
      </c>
      <c r="J19" s="55">
        <v>28.2</v>
      </c>
    </row>
    <row r="20" spans="1:11" s="33" customFormat="1" ht="15.75" thickBot="1" x14ac:dyDescent="0.3">
      <c r="A20" s="83"/>
      <c r="B20" s="10" t="s">
        <v>14</v>
      </c>
      <c r="C20" s="11" t="s">
        <v>32</v>
      </c>
      <c r="D20" s="11" t="s">
        <v>33</v>
      </c>
      <c r="E20" s="18">
        <v>42.5</v>
      </c>
      <c r="F20" s="19">
        <v>1.65</v>
      </c>
      <c r="G20" s="19">
        <f>229.7*0.425</f>
        <v>97.622499999999988</v>
      </c>
      <c r="H20" s="12">
        <f>6.7*0.425</f>
        <v>2.8475000000000001</v>
      </c>
      <c r="I20" s="12">
        <f>1.1*0.425</f>
        <v>0.46750000000000003</v>
      </c>
      <c r="J20" s="13">
        <f>48.3*0.425</f>
        <v>20.5275</v>
      </c>
    </row>
    <row r="21" spans="1:11" s="28" customFormat="1" ht="16.5" thickBot="1" x14ac:dyDescent="0.3">
      <c r="A21" s="68" t="s">
        <v>15</v>
      </c>
      <c r="B21" s="69"/>
      <c r="C21" s="69"/>
      <c r="D21" s="69"/>
      <c r="E21" s="70"/>
      <c r="F21" s="20">
        <f>SUM(F15:F20)</f>
        <v>97.15</v>
      </c>
      <c r="G21" s="20">
        <f>SUM(G15:G20)</f>
        <v>862.94749999999999</v>
      </c>
      <c r="H21" s="20">
        <f>SUM(H15:H20)</f>
        <v>27.574999999999999</v>
      </c>
      <c r="I21" s="20">
        <f>SUM(I15:I20)</f>
        <v>32.562500000000007</v>
      </c>
      <c r="J21" s="20">
        <f>SUM(J15:J20)</f>
        <v>112.73500000000001</v>
      </c>
      <c r="K21"/>
    </row>
    <row r="22" spans="1:11" s="36" customFormat="1" x14ac:dyDescent="0.25">
      <c r="A22" s="76" t="s">
        <v>30</v>
      </c>
      <c r="B22" s="44" t="s">
        <v>31</v>
      </c>
      <c r="C22" s="37" t="s">
        <v>47</v>
      </c>
      <c r="D22" s="56" t="s">
        <v>48</v>
      </c>
      <c r="E22" s="39" t="s">
        <v>69</v>
      </c>
      <c r="F22" s="14">
        <v>31.79</v>
      </c>
      <c r="G22" s="15">
        <f>364*0.2+660*0.05+280*0.35</f>
        <v>203.8</v>
      </c>
      <c r="H22" s="51">
        <f>23.2*0.2+0.8*0.05+8*0.35</f>
        <v>7.4799999999999995</v>
      </c>
      <c r="I22" s="51">
        <f>29.5*0.2+72.5*0.05+3*0.35</f>
        <v>10.574999999999999</v>
      </c>
      <c r="J22" s="52">
        <f>0+1.3*0.05+54*0.35</f>
        <v>18.965</v>
      </c>
      <c r="K22"/>
    </row>
    <row r="23" spans="1:11" s="53" customFormat="1" x14ac:dyDescent="0.25">
      <c r="A23" s="77"/>
      <c r="B23" s="8" t="s">
        <v>18</v>
      </c>
      <c r="C23" s="6" t="s">
        <v>19</v>
      </c>
      <c r="D23" s="6" t="s">
        <v>20</v>
      </c>
      <c r="E23" s="17" t="s">
        <v>34</v>
      </c>
      <c r="F23" s="7">
        <v>2.21</v>
      </c>
      <c r="G23" s="7">
        <v>60</v>
      </c>
      <c r="H23" s="7">
        <v>7.0000000000000007E-2</v>
      </c>
      <c r="I23" s="7">
        <v>0.02</v>
      </c>
      <c r="J23" s="9">
        <v>15</v>
      </c>
    </row>
    <row r="24" spans="1:11" s="53" customFormat="1" ht="15.75" thickBot="1" x14ac:dyDescent="0.3">
      <c r="A24" s="77"/>
      <c r="B24" s="10" t="s">
        <v>39</v>
      </c>
      <c r="C24" s="11" t="s">
        <v>40</v>
      </c>
      <c r="D24" s="11" t="s">
        <v>70</v>
      </c>
      <c r="E24" s="18">
        <v>35</v>
      </c>
      <c r="F24" s="19">
        <v>8.2899999999999991</v>
      </c>
      <c r="G24" s="19">
        <f>350*0.35</f>
        <v>122.49999999999999</v>
      </c>
      <c r="H24" s="19">
        <f>5*0.35</f>
        <v>1.75</v>
      </c>
      <c r="I24" s="19">
        <f>6*0.35</f>
        <v>2.0999999999999996</v>
      </c>
      <c r="J24" s="29">
        <f>69*0.35</f>
        <v>24.15</v>
      </c>
      <c r="K24"/>
    </row>
    <row r="25" spans="1:11" s="36" customFormat="1" ht="16.5" thickBot="1" x14ac:dyDescent="0.3">
      <c r="A25" s="78" t="s">
        <v>15</v>
      </c>
      <c r="B25" s="79"/>
      <c r="C25" s="79"/>
      <c r="D25" s="79"/>
      <c r="E25" s="80"/>
      <c r="F25" s="3">
        <f>SUM(F22:F24)</f>
        <v>42.29</v>
      </c>
      <c r="G25" s="3">
        <f>SUM(G22:G24)</f>
        <v>386.3</v>
      </c>
      <c r="H25" s="3">
        <f>SUM(H22:H24)</f>
        <v>9.3000000000000007</v>
      </c>
      <c r="I25" s="3">
        <f>SUM(I22:I24)</f>
        <v>12.694999999999999</v>
      </c>
      <c r="J25" s="3">
        <f>SUM(J22:J24)</f>
        <v>58.115000000000002</v>
      </c>
      <c r="K25"/>
    </row>
    <row r="26" spans="1:11" ht="15.75" customHeight="1" x14ac:dyDescent="0.25">
      <c r="A26" s="84" t="s">
        <v>78</v>
      </c>
      <c r="B26" s="44" t="s">
        <v>31</v>
      </c>
      <c r="C26" s="37" t="s">
        <v>55</v>
      </c>
      <c r="D26" s="37" t="s">
        <v>56</v>
      </c>
      <c r="E26" s="14">
        <v>17</v>
      </c>
      <c r="F26" s="15">
        <v>10.06</v>
      </c>
      <c r="G26" s="15">
        <f>736*0.017</f>
        <v>12.512</v>
      </c>
      <c r="H26" s="15">
        <f>20.55*0.017</f>
        <v>0.34935000000000005</v>
      </c>
      <c r="I26" s="15">
        <f>29.1*0.017</f>
        <v>0.49470000000000008</v>
      </c>
      <c r="J26" s="16">
        <f>97.89*0.017</f>
        <v>1.6641300000000001</v>
      </c>
    </row>
    <row r="27" spans="1:11" ht="15.75" x14ac:dyDescent="0.25">
      <c r="A27" s="85"/>
      <c r="B27" s="8" t="s">
        <v>13</v>
      </c>
      <c r="C27" s="6" t="s">
        <v>52</v>
      </c>
      <c r="D27" s="47" t="s">
        <v>51</v>
      </c>
      <c r="E27" s="17">
        <v>60</v>
      </c>
      <c r="F27" s="7">
        <v>39.86</v>
      </c>
      <c r="G27" s="24">
        <f>144*1.2</f>
        <v>172.79999999999998</v>
      </c>
      <c r="H27" s="40">
        <f>8.37*1.2</f>
        <v>10.043999999999999</v>
      </c>
      <c r="I27" s="40">
        <f>9.17*1.2</f>
        <v>11.004</v>
      </c>
      <c r="J27" s="42">
        <f>6.56*1.2</f>
        <v>7.871999999999999</v>
      </c>
    </row>
    <row r="28" spans="1:11" x14ac:dyDescent="0.25">
      <c r="A28" s="85"/>
      <c r="B28" s="8" t="s">
        <v>17</v>
      </c>
      <c r="C28" s="6" t="s">
        <v>38</v>
      </c>
      <c r="D28" s="6" t="s">
        <v>43</v>
      </c>
      <c r="E28" s="17">
        <v>150</v>
      </c>
      <c r="F28" s="7">
        <v>15.07</v>
      </c>
      <c r="G28" s="45">
        <f>112.3*1.5</f>
        <v>168.45</v>
      </c>
      <c r="H28" s="45">
        <f>3.68*1.5</f>
        <v>5.5200000000000005</v>
      </c>
      <c r="I28" s="45">
        <f>3.01*1.5</f>
        <v>4.5149999999999997</v>
      </c>
      <c r="J28" s="46">
        <f>17.63*1.5</f>
        <v>26.445</v>
      </c>
    </row>
    <row r="29" spans="1:11" x14ac:dyDescent="0.25">
      <c r="A29" s="85"/>
      <c r="B29" s="8" t="s">
        <v>18</v>
      </c>
      <c r="C29" s="6" t="s">
        <v>71</v>
      </c>
      <c r="D29" s="6" t="s">
        <v>72</v>
      </c>
      <c r="E29" s="17" t="s">
        <v>73</v>
      </c>
      <c r="F29" s="7">
        <v>3.74</v>
      </c>
      <c r="G29" s="7">
        <v>62</v>
      </c>
      <c r="H29" s="7">
        <v>0.13</v>
      </c>
      <c r="I29" s="7">
        <v>0.02</v>
      </c>
      <c r="J29" s="9">
        <v>15.2</v>
      </c>
    </row>
    <row r="30" spans="1:11" x14ac:dyDescent="0.25">
      <c r="A30" s="85"/>
      <c r="B30" s="8" t="s">
        <v>21</v>
      </c>
      <c r="C30" s="6" t="s">
        <v>57</v>
      </c>
      <c r="D30" s="6" t="s">
        <v>58</v>
      </c>
      <c r="E30" s="17">
        <v>50</v>
      </c>
      <c r="F30" s="7">
        <v>7.14</v>
      </c>
      <c r="G30" s="7">
        <v>198.6</v>
      </c>
      <c r="H30" s="43">
        <v>4.0999999999999996</v>
      </c>
      <c r="I30" s="43">
        <v>7.7</v>
      </c>
      <c r="J30" s="55">
        <v>28.2</v>
      </c>
    </row>
    <row r="31" spans="1:11" ht="15.75" thickBot="1" x14ac:dyDescent="0.3">
      <c r="A31" s="86"/>
      <c r="B31" s="10" t="s">
        <v>14</v>
      </c>
      <c r="C31" s="11" t="s">
        <v>32</v>
      </c>
      <c r="D31" s="11" t="s">
        <v>33</v>
      </c>
      <c r="E31" s="18">
        <v>29</v>
      </c>
      <c r="F31" s="19">
        <v>1.1299999999999999</v>
      </c>
      <c r="G31" s="19">
        <f>229.7*0.29</f>
        <v>66.612999999999985</v>
      </c>
      <c r="H31" s="12">
        <f>6.7*0.29</f>
        <v>1.9429999999999998</v>
      </c>
      <c r="I31" s="12">
        <f>1.1*0.29</f>
        <v>0.31900000000000001</v>
      </c>
      <c r="J31" s="13">
        <f>48.3*0.29</f>
        <v>14.006999999999998</v>
      </c>
    </row>
    <row r="32" spans="1:11" ht="16.5" thickBot="1" x14ac:dyDescent="0.3">
      <c r="A32" s="87" t="s">
        <v>15</v>
      </c>
      <c r="B32" s="69"/>
      <c r="C32" s="69"/>
      <c r="D32" s="69"/>
      <c r="E32" s="73"/>
      <c r="F32" s="20">
        <f>SUM(F26:F31)</f>
        <v>77</v>
      </c>
      <c r="G32" s="20">
        <f>SUM(G26:G31)</f>
        <v>680.97499999999991</v>
      </c>
      <c r="H32" s="20">
        <f t="shared" ref="H32:J32" si="1">SUM(H26:H31)</f>
        <v>22.086349999999999</v>
      </c>
      <c r="I32" s="20">
        <f t="shared" si="1"/>
        <v>24.052699999999998</v>
      </c>
      <c r="J32" s="20">
        <f t="shared" si="1"/>
        <v>93.38812999999999</v>
      </c>
    </row>
    <row r="33" spans="1:10" x14ac:dyDescent="0.25">
      <c r="A33" s="88" t="s">
        <v>35</v>
      </c>
      <c r="B33" s="21" t="s">
        <v>13</v>
      </c>
      <c r="C33" s="22" t="s">
        <v>38</v>
      </c>
      <c r="D33" s="22" t="s">
        <v>50</v>
      </c>
      <c r="E33" s="14" t="s">
        <v>74</v>
      </c>
      <c r="F33" s="15">
        <v>22.99</v>
      </c>
      <c r="G33" s="49">
        <f>1123*0.15+364*0.08</f>
        <v>197.57</v>
      </c>
      <c r="H33" s="49">
        <f>36.78*0.15+23.2*0.08</f>
        <v>7.3730000000000002</v>
      </c>
      <c r="I33" s="49">
        <f>30.1*0.15+29.5*0.08</f>
        <v>6.875</v>
      </c>
      <c r="J33" s="50">
        <f>176.3*0.15</f>
        <v>26.445</v>
      </c>
    </row>
    <row r="34" spans="1:10" x14ac:dyDescent="0.25">
      <c r="A34" s="89"/>
      <c r="B34" s="8" t="s">
        <v>18</v>
      </c>
      <c r="C34" s="6" t="s">
        <v>71</v>
      </c>
      <c r="D34" s="6" t="s">
        <v>72</v>
      </c>
      <c r="E34" s="17" t="s">
        <v>73</v>
      </c>
      <c r="F34" s="7">
        <v>3.74</v>
      </c>
      <c r="G34" s="7">
        <v>62</v>
      </c>
      <c r="H34" s="7">
        <v>0.13</v>
      </c>
      <c r="I34" s="7">
        <v>0.02</v>
      </c>
      <c r="J34" s="9">
        <v>15.2</v>
      </c>
    </row>
    <row r="35" spans="1:10" ht="15.75" thickBot="1" x14ac:dyDescent="0.3">
      <c r="A35" s="90"/>
      <c r="B35" s="10" t="s">
        <v>14</v>
      </c>
      <c r="C35" s="11" t="s">
        <v>32</v>
      </c>
      <c r="D35" s="11" t="s">
        <v>33</v>
      </c>
      <c r="E35" s="18">
        <v>7</v>
      </c>
      <c r="F35" s="19">
        <v>0.27</v>
      </c>
      <c r="G35" s="19">
        <f>229.7*0.07</f>
        <v>16.079000000000001</v>
      </c>
      <c r="H35" s="12">
        <f>6.7*0.07</f>
        <v>0.46900000000000008</v>
      </c>
      <c r="I35" s="12">
        <f>1.1*0.07</f>
        <v>7.7000000000000013E-2</v>
      </c>
      <c r="J35" s="13">
        <f>48.3*0.07</f>
        <v>3.3810000000000002</v>
      </c>
    </row>
    <row r="36" spans="1:10" ht="16.5" thickBot="1" x14ac:dyDescent="0.3">
      <c r="A36" s="91" t="s">
        <v>15</v>
      </c>
      <c r="B36" s="69"/>
      <c r="C36" s="69"/>
      <c r="D36" s="69"/>
      <c r="E36" s="73"/>
      <c r="F36" s="20">
        <f>SUM(F33:F35)</f>
        <v>26.999999999999996</v>
      </c>
      <c r="G36" s="20">
        <f>SUM(G33:G35)</f>
        <v>275.649</v>
      </c>
      <c r="H36" s="20">
        <f>SUM(H33:H35)</f>
        <v>7.9720000000000004</v>
      </c>
      <c r="I36" s="20">
        <f>SUM(I33:I35)</f>
        <v>6.9719999999999995</v>
      </c>
      <c r="J36" s="20">
        <f>SUM(J33:J35)</f>
        <v>45.025999999999996</v>
      </c>
    </row>
    <row r="37" spans="1:10" ht="47.25" customHeight="1" x14ac:dyDescent="0.25">
      <c r="A37" s="92" t="s">
        <v>36</v>
      </c>
      <c r="B37" s="21" t="s">
        <v>31</v>
      </c>
      <c r="C37" s="22" t="s">
        <v>75</v>
      </c>
      <c r="D37" s="22" t="s">
        <v>76</v>
      </c>
      <c r="E37" s="14" t="s">
        <v>77</v>
      </c>
      <c r="F37" s="15">
        <v>4.79</v>
      </c>
      <c r="G37" s="15">
        <f>250*0.25+229.7*0.3</f>
        <v>131.41</v>
      </c>
      <c r="H37" s="15">
        <f>0.4*0.25+6.7*0.3</f>
        <v>2.11</v>
      </c>
      <c r="I37" s="15">
        <f>0+1.1*0.3</f>
        <v>0.33</v>
      </c>
      <c r="J37" s="16">
        <f>65*0.25+48.3*0.3</f>
        <v>30.74</v>
      </c>
    </row>
    <row r="38" spans="1:10" ht="15.75" thickBot="1" x14ac:dyDescent="0.3">
      <c r="A38" s="93"/>
      <c r="B38" s="10" t="s">
        <v>18</v>
      </c>
      <c r="C38" s="11" t="s">
        <v>19</v>
      </c>
      <c r="D38" s="11" t="s">
        <v>20</v>
      </c>
      <c r="E38" s="18" t="s">
        <v>34</v>
      </c>
      <c r="F38" s="19">
        <v>2.21</v>
      </c>
      <c r="G38" s="19">
        <v>60</v>
      </c>
      <c r="H38" s="19">
        <v>7.0000000000000007E-2</v>
      </c>
      <c r="I38" s="19">
        <v>0.02</v>
      </c>
      <c r="J38" s="29">
        <v>15</v>
      </c>
    </row>
    <row r="39" spans="1:10" ht="16.5" thickBot="1" x14ac:dyDescent="0.3">
      <c r="A39" s="68" t="s">
        <v>15</v>
      </c>
      <c r="B39" s="69"/>
      <c r="C39" s="69"/>
      <c r="D39" s="69"/>
      <c r="E39" s="70"/>
      <c r="F39" s="20">
        <f>SUM(F37:F38)</f>
        <v>7</v>
      </c>
      <c r="G39" s="20">
        <f>SUM(G37:G38)</f>
        <v>191.41</v>
      </c>
      <c r="H39" s="20">
        <f t="shared" ref="H39:J39" si="2">SUM(H37:H38)</f>
        <v>2.1799999999999997</v>
      </c>
      <c r="I39" s="20">
        <f t="shared" si="2"/>
        <v>0.35000000000000003</v>
      </c>
      <c r="J39" s="20">
        <f t="shared" si="2"/>
        <v>45.739999999999995</v>
      </c>
    </row>
    <row r="40" spans="1:10" ht="30" x14ac:dyDescent="0.25">
      <c r="A40" s="94" t="s">
        <v>37</v>
      </c>
      <c r="B40" s="21" t="s">
        <v>16</v>
      </c>
      <c r="C40" s="22" t="s">
        <v>44</v>
      </c>
      <c r="D40" s="22" t="s">
        <v>45</v>
      </c>
      <c r="E40" s="14" t="s">
        <v>42</v>
      </c>
      <c r="F40" s="15">
        <v>10.58</v>
      </c>
      <c r="G40" s="15">
        <f>415*0.25+162*0.1</f>
        <v>119.95</v>
      </c>
      <c r="H40" s="15">
        <f>7.21*0.25+2.6*0.1</f>
        <v>2.0625</v>
      </c>
      <c r="I40" s="15">
        <f>19.68*0.25+15*0.1</f>
        <v>6.42</v>
      </c>
      <c r="J40" s="16">
        <f>43.73*0.25+3.6*0.1</f>
        <v>11.292499999999999</v>
      </c>
    </row>
    <row r="41" spans="1:10" x14ac:dyDescent="0.25">
      <c r="A41" s="94"/>
      <c r="B41" s="8" t="s">
        <v>13</v>
      </c>
      <c r="C41" s="6" t="s">
        <v>46</v>
      </c>
      <c r="D41" s="6" t="s">
        <v>59</v>
      </c>
      <c r="E41" s="17" t="s">
        <v>66</v>
      </c>
      <c r="F41" s="7">
        <v>27.98</v>
      </c>
      <c r="G41" s="24">
        <f>280.7/40*23</f>
        <v>161.4025</v>
      </c>
      <c r="H41" s="24">
        <f>14/40*23</f>
        <v>8.0499999999999989</v>
      </c>
      <c r="I41" s="24">
        <f>14.1/40*23</f>
        <v>8.1074999999999999</v>
      </c>
      <c r="J41" s="25">
        <f>24.5/40*23</f>
        <v>14.0875</v>
      </c>
    </row>
    <row r="42" spans="1:10" x14ac:dyDescent="0.25">
      <c r="A42" s="94"/>
      <c r="B42" s="8" t="s">
        <v>18</v>
      </c>
      <c r="C42" s="6" t="s">
        <v>71</v>
      </c>
      <c r="D42" s="6" t="s">
        <v>72</v>
      </c>
      <c r="E42" s="17" t="s">
        <v>73</v>
      </c>
      <c r="F42" s="7">
        <v>3.74</v>
      </c>
      <c r="G42" s="7">
        <v>62</v>
      </c>
      <c r="H42" s="7">
        <v>0.13</v>
      </c>
      <c r="I42" s="7">
        <v>0.02</v>
      </c>
      <c r="J42" s="9">
        <v>15.2</v>
      </c>
    </row>
    <row r="43" spans="1:10" ht="15.75" thickBot="1" x14ac:dyDescent="0.3">
      <c r="A43" s="94"/>
      <c r="B43" s="10" t="s">
        <v>14</v>
      </c>
      <c r="C43" s="11" t="s">
        <v>32</v>
      </c>
      <c r="D43" s="11" t="s">
        <v>33</v>
      </c>
      <c r="E43" s="18">
        <v>70</v>
      </c>
      <c r="F43" s="19">
        <v>2.7</v>
      </c>
      <c r="G43" s="19">
        <f>229.7*0.7</f>
        <v>160.79</v>
      </c>
      <c r="H43" s="12">
        <f>6.7*0.7</f>
        <v>4.6899999999999995</v>
      </c>
      <c r="I43" s="12">
        <f>1.1*0.7</f>
        <v>0.77</v>
      </c>
      <c r="J43" s="13">
        <f>48.3*0.7</f>
        <v>33.809999999999995</v>
      </c>
    </row>
    <row r="44" spans="1:10" ht="16.5" thickBot="1" x14ac:dyDescent="0.3">
      <c r="A44" s="68" t="s">
        <v>15</v>
      </c>
      <c r="B44" s="95"/>
      <c r="C44" s="95"/>
      <c r="D44" s="95"/>
      <c r="E44" s="96"/>
      <c r="F44" s="57">
        <f>SUM(F40:F43)</f>
        <v>45.000000000000007</v>
      </c>
      <c r="G44" s="57">
        <f>SUM(G40:G43)</f>
        <v>504.14250000000004</v>
      </c>
      <c r="H44" s="57">
        <f>SUM(H40:H43)</f>
        <v>14.932499999999999</v>
      </c>
      <c r="I44" s="57">
        <f>SUM(I40:I43)</f>
        <v>15.317499999999999</v>
      </c>
      <c r="J44" s="57">
        <f>SUM(J40:J43)</f>
        <v>74.389999999999986</v>
      </c>
    </row>
    <row r="45" spans="1:10" ht="30" x14ac:dyDescent="0.25">
      <c r="A45" s="94" t="s">
        <v>79</v>
      </c>
      <c r="B45" s="21" t="s">
        <v>16</v>
      </c>
      <c r="C45" s="22" t="s">
        <v>44</v>
      </c>
      <c r="D45" s="22" t="s">
        <v>45</v>
      </c>
      <c r="E45" s="14" t="s">
        <v>42</v>
      </c>
      <c r="F45" s="15">
        <v>10.58</v>
      </c>
      <c r="G45" s="15">
        <f>415*0.25+162*0.1</f>
        <v>119.95</v>
      </c>
      <c r="H45" s="15">
        <f>7.21*0.25+2.6*0.1</f>
        <v>2.0625</v>
      </c>
      <c r="I45" s="15">
        <f>19.68*0.25+15*0.1</f>
        <v>6.42</v>
      </c>
      <c r="J45" s="16">
        <f>43.73*0.25+3.6*0.1</f>
        <v>11.292499999999999</v>
      </c>
    </row>
    <row r="46" spans="1:10" x14ac:dyDescent="0.25">
      <c r="A46" s="94"/>
      <c r="B46" s="8" t="s">
        <v>13</v>
      </c>
      <c r="C46" s="6" t="s">
        <v>46</v>
      </c>
      <c r="D46" s="6" t="s">
        <v>59</v>
      </c>
      <c r="E46" s="17" t="s">
        <v>60</v>
      </c>
      <c r="F46" s="7">
        <v>48.66</v>
      </c>
      <c r="G46" s="24">
        <f>280.7/40*40</f>
        <v>280.7</v>
      </c>
      <c r="H46" s="24">
        <f>14/40*40</f>
        <v>14</v>
      </c>
      <c r="I46" s="24">
        <f>14.1/40*40</f>
        <v>14.1</v>
      </c>
      <c r="J46" s="25">
        <f>24.5/40*40</f>
        <v>24.5</v>
      </c>
    </row>
    <row r="47" spans="1:10" x14ac:dyDescent="0.25">
      <c r="A47" s="94"/>
      <c r="B47" s="8" t="s">
        <v>53</v>
      </c>
      <c r="C47" s="6" t="s">
        <v>67</v>
      </c>
      <c r="D47" s="6" t="s">
        <v>68</v>
      </c>
      <c r="E47" s="17">
        <v>200</v>
      </c>
      <c r="F47" s="7">
        <v>11.06</v>
      </c>
      <c r="G47" s="7">
        <v>88.2</v>
      </c>
      <c r="H47" s="7">
        <v>0.68</v>
      </c>
      <c r="I47" s="7">
        <v>0.28000000000000003</v>
      </c>
      <c r="J47" s="9">
        <v>20.76</v>
      </c>
    </row>
    <row r="48" spans="1:10" x14ac:dyDescent="0.25">
      <c r="A48" s="94"/>
      <c r="B48" s="8" t="s">
        <v>21</v>
      </c>
      <c r="C48" s="6" t="s">
        <v>61</v>
      </c>
      <c r="D48" s="6" t="s">
        <v>62</v>
      </c>
      <c r="E48" s="17">
        <v>50</v>
      </c>
      <c r="F48" s="7">
        <v>4.38</v>
      </c>
      <c r="G48" s="7">
        <v>159</v>
      </c>
      <c r="H48" s="7">
        <v>3.64</v>
      </c>
      <c r="I48" s="7">
        <v>6.26</v>
      </c>
      <c r="J48" s="9">
        <v>21.96</v>
      </c>
    </row>
    <row r="49" spans="1:10" ht="15.75" thickBot="1" x14ac:dyDescent="0.3">
      <c r="A49" s="94"/>
      <c r="B49" s="10" t="s">
        <v>14</v>
      </c>
      <c r="C49" s="11" t="s">
        <v>32</v>
      </c>
      <c r="D49" s="11" t="s">
        <v>33</v>
      </c>
      <c r="E49" s="18">
        <v>60</v>
      </c>
      <c r="F49" s="19">
        <v>2.3199999999999998</v>
      </c>
      <c r="G49" s="19">
        <f>229.7*0.6</f>
        <v>137.82</v>
      </c>
      <c r="H49" s="12">
        <f>6.7*0.6</f>
        <v>4.0199999999999996</v>
      </c>
      <c r="I49" s="12">
        <f>1.1*0.6</f>
        <v>0.66</v>
      </c>
      <c r="J49" s="13">
        <f>48.3*0.6</f>
        <v>28.979999999999997</v>
      </c>
    </row>
    <row r="50" spans="1:10" ht="16.5" thickBot="1" x14ac:dyDescent="0.3">
      <c r="A50" s="68" t="s">
        <v>15</v>
      </c>
      <c r="B50" s="97"/>
      <c r="C50" s="97"/>
      <c r="D50" s="97"/>
      <c r="E50" s="98"/>
      <c r="F50" s="58">
        <f>SUM(F45:F49)</f>
        <v>76.999999999999986</v>
      </c>
      <c r="G50" s="58">
        <f>SUM(G45:G49)</f>
        <v>785.66999999999985</v>
      </c>
      <c r="H50" s="58">
        <f>SUM(H45:H49)</f>
        <v>24.4025</v>
      </c>
      <c r="I50" s="58">
        <f>SUM(I45:I49)</f>
        <v>27.720000000000002</v>
      </c>
      <c r="J50" s="58">
        <f>SUM(J45:J49)</f>
        <v>107.49249999999998</v>
      </c>
    </row>
    <row r="52" spans="1:10" ht="15.75" thickBot="1" x14ac:dyDescent="0.3">
      <c r="A52" s="66" t="s">
        <v>25</v>
      </c>
      <c r="B52" s="66"/>
      <c r="C52" s="66"/>
      <c r="D52" s="66"/>
      <c r="E52" s="66"/>
      <c r="F52" s="66"/>
      <c r="G52" s="66"/>
      <c r="H52" s="66"/>
      <c r="I52" s="66"/>
      <c r="J52" s="66"/>
    </row>
    <row r="53" spans="1:10" ht="15.75" x14ac:dyDescent="0.25">
      <c r="A53" s="23"/>
      <c r="B53" s="23"/>
      <c r="C53" s="65" t="s">
        <v>23</v>
      </c>
      <c r="D53" s="65"/>
      <c r="G53" s="67"/>
      <c r="H53" s="67"/>
      <c r="I53" s="67"/>
      <c r="J53" s="67"/>
    </row>
    <row r="54" spans="1:10" x14ac:dyDescent="0.25">
      <c r="A54" s="1"/>
      <c r="B54" s="1"/>
      <c r="C54" s="1"/>
      <c r="D54" s="1"/>
    </row>
    <row r="55" spans="1:10" x14ac:dyDescent="0.25">
      <c r="A55" s="74" t="s">
        <v>24</v>
      </c>
      <c r="B55" s="74"/>
    </row>
    <row r="56" spans="1:10" x14ac:dyDescent="0.25">
      <c r="A56" s="74" t="s">
        <v>26</v>
      </c>
      <c r="B56" s="74"/>
    </row>
    <row r="57" spans="1:10" x14ac:dyDescent="0.25">
      <c r="A57" s="4"/>
    </row>
  </sheetData>
  <mergeCells count="25">
    <mergeCell ref="A55:B55"/>
    <mergeCell ref="A56:B56"/>
    <mergeCell ref="A3:A8"/>
    <mergeCell ref="A22:A24"/>
    <mergeCell ref="A25:E25"/>
    <mergeCell ref="A15:A20"/>
    <mergeCell ref="A26:A31"/>
    <mergeCell ref="A32:E32"/>
    <mergeCell ref="A33:A35"/>
    <mergeCell ref="A36:E36"/>
    <mergeCell ref="A37:A38"/>
    <mergeCell ref="A39:E39"/>
    <mergeCell ref="A40:A43"/>
    <mergeCell ref="A44:E44"/>
    <mergeCell ref="A45:A49"/>
    <mergeCell ref="A50:E50"/>
    <mergeCell ref="B1:C1"/>
    <mergeCell ref="G1:J1"/>
    <mergeCell ref="C53:D53"/>
    <mergeCell ref="A52:J52"/>
    <mergeCell ref="G53:J53"/>
    <mergeCell ref="A9:E9"/>
    <mergeCell ref="A10:A13"/>
    <mergeCell ref="A14:E14"/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2022-12-08T12:34:46Z</dcterms:modified>
</cp:coreProperties>
</file>