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1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J42" i="1"/>
  <c r="I42" i="1"/>
  <c r="H42" i="1"/>
  <c r="G42" i="1"/>
  <c r="J44" i="1" l="1"/>
  <c r="I44" i="1"/>
  <c r="H44" i="1"/>
  <c r="G44" i="1"/>
  <c r="J50" i="1"/>
  <c r="I50" i="1"/>
  <c r="H50" i="1"/>
  <c r="G50" i="1"/>
  <c r="J49" i="1"/>
  <c r="I49" i="1"/>
  <c r="H49" i="1"/>
  <c r="G49" i="1"/>
  <c r="J36" i="1" l="1"/>
  <c r="I36" i="1"/>
  <c r="H36" i="1"/>
  <c r="G36" i="1"/>
  <c r="J34" i="1"/>
  <c r="I34" i="1"/>
  <c r="H34" i="1"/>
  <c r="G34" i="1"/>
  <c r="J33" i="1"/>
  <c r="I33" i="1"/>
  <c r="H33" i="1"/>
  <c r="G33" i="1"/>
  <c r="J31" i="1"/>
  <c r="I31" i="1"/>
  <c r="H31" i="1"/>
  <c r="G31" i="1"/>
  <c r="J30" i="1"/>
  <c r="I30" i="1"/>
  <c r="H30" i="1"/>
  <c r="G30" i="1"/>
  <c r="J28" i="1" l="1"/>
  <c r="I28" i="1"/>
  <c r="H28" i="1"/>
  <c r="G28" i="1"/>
  <c r="J4" i="1"/>
  <c r="I4" i="1"/>
  <c r="H4" i="1"/>
  <c r="G4" i="1"/>
  <c r="G27" i="1"/>
  <c r="J27" i="1"/>
  <c r="I27" i="1"/>
  <c r="H27" i="1"/>
  <c r="J26" i="1"/>
  <c r="I26" i="1"/>
  <c r="H26" i="1"/>
  <c r="G26" i="1"/>
  <c r="J39" i="1" l="1"/>
  <c r="I39" i="1"/>
  <c r="H39" i="1"/>
  <c r="G39" i="1"/>
  <c r="J24" i="1"/>
  <c r="I24" i="1"/>
  <c r="H24" i="1"/>
  <c r="G24" i="1"/>
  <c r="J22" i="1"/>
  <c r="I22" i="1"/>
  <c r="H22" i="1"/>
  <c r="G22" i="1"/>
  <c r="J20" i="1" l="1"/>
  <c r="I20" i="1"/>
  <c r="H20" i="1"/>
  <c r="G20" i="1"/>
  <c r="J19" i="1"/>
  <c r="I19" i="1"/>
  <c r="H19" i="1"/>
  <c r="G19" i="1"/>
  <c r="J17" i="1"/>
  <c r="I17" i="1"/>
  <c r="H17" i="1"/>
  <c r="G17" i="1"/>
  <c r="J16" i="1"/>
  <c r="I16" i="1"/>
  <c r="H16" i="1"/>
  <c r="G16" i="1"/>
  <c r="J15" i="1"/>
  <c r="I15" i="1"/>
  <c r="H15" i="1"/>
  <c r="G15" i="1"/>
  <c r="J13" i="1"/>
  <c r="I13" i="1"/>
  <c r="H13" i="1"/>
  <c r="G13" i="1"/>
  <c r="J11" i="1"/>
  <c r="I11" i="1"/>
  <c r="H11" i="1"/>
  <c r="G11" i="1"/>
  <c r="J10" i="1"/>
  <c r="I10" i="1"/>
  <c r="H10" i="1"/>
  <c r="G10" i="1"/>
  <c r="J46" i="1"/>
  <c r="I46" i="1"/>
  <c r="H46" i="1"/>
  <c r="G46" i="1"/>
  <c r="J41" i="1"/>
  <c r="I41" i="1"/>
  <c r="H41" i="1"/>
  <c r="G41" i="1"/>
  <c r="J7" i="1"/>
  <c r="I7" i="1"/>
  <c r="H7" i="1"/>
  <c r="G7" i="1"/>
  <c r="J9" i="1" l="1"/>
  <c r="I9" i="1"/>
  <c r="H9" i="1"/>
  <c r="G9" i="1"/>
  <c r="J5" i="1" l="1"/>
  <c r="I5" i="1"/>
  <c r="H5" i="1"/>
  <c r="G5" i="1"/>
  <c r="F51" i="1" l="1"/>
  <c r="J51" i="1"/>
  <c r="I51" i="1"/>
  <c r="H51" i="1"/>
  <c r="G51" i="1"/>
  <c r="F45" i="1"/>
  <c r="J45" i="1"/>
  <c r="I45" i="1"/>
  <c r="H45" i="1"/>
  <c r="G45" i="1"/>
  <c r="F40" i="1"/>
  <c r="J40" i="1"/>
  <c r="I40" i="1"/>
  <c r="H40" i="1"/>
  <c r="G40" i="1"/>
  <c r="F37" i="1"/>
  <c r="J37" i="1"/>
  <c r="I37" i="1"/>
  <c r="H37" i="1"/>
  <c r="G37" i="1"/>
  <c r="F32" i="1"/>
  <c r="J32" i="1"/>
  <c r="I32" i="1"/>
  <c r="H32" i="1"/>
  <c r="G32" i="1"/>
  <c r="J3" i="1" l="1"/>
  <c r="I3" i="1"/>
  <c r="H3" i="1"/>
  <c r="G3" i="1"/>
  <c r="G8" i="1" l="1"/>
  <c r="H8" i="1"/>
  <c r="I8" i="1"/>
  <c r="F8" i="1"/>
  <c r="J8" i="1" l="1"/>
  <c r="F14" i="1" l="1"/>
  <c r="F21" i="1" l="1"/>
  <c r="J21" i="1" l="1"/>
  <c r="I21" i="1"/>
  <c r="H21" i="1"/>
  <c r="G21" i="1"/>
  <c r="J14" i="1" l="1"/>
  <c r="I14" i="1"/>
  <c r="H14" i="1"/>
  <c r="G14" i="1"/>
  <c r="F25" i="1"/>
  <c r="J25" i="1"/>
  <c r="I25" i="1"/>
  <c r="H25" i="1"/>
  <c r="G25" i="1"/>
</calcChain>
</file>

<file path=xl/sharedStrings.xml><?xml version="1.0" encoding="utf-8"?>
<sst xmlns="http://schemas.openxmlformats.org/spreadsheetml/2006/main" count="171" uniqueCount="77">
  <si>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</si>
  <si>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</si>
  <si>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</si>
  <si>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</si>
  <si>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</si>
  <si>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</si>
  <si>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</si>
  <si>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</si>
  <si>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</si>
  <si>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</si>
  <si>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</si>
  <si>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</si>
  <si>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</si>
  <si>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</si>
  <si>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</si>
  <si>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</si>
  <si>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</si>
  <si>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</si>
  <si>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</si>
  <si>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</si>
  <si>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</si>
  <si>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</si>
  <si>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</si>
  <si>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</si>
  <si>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</si>
  <si>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</si>
  <si>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</si>
  <si>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</si>
  <si>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</si>
  <si>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</si>
  <si>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</si>
  <si>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</si>
  <si>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</si>
  <si>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</si>
  <si>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</si>
  <si>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</si>
  <si>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1 смена </t>
  </si>
  <si>
    <t>Кондитерское изделие</t>
  </si>
  <si>
    <t>ПР</t>
  </si>
  <si>
    <t>№71-2015г.</t>
  </si>
  <si>
    <t>Овощи натуральные свежие (огурцы)</t>
  </si>
  <si>
    <t>250/10/2</t>
  </si>
  <si>
    <t>Напиток (сладкое блюдо)</t>
  </si>
  <si>
    <t>Бутерброд с красной рыбой сл/с</t>
  </si>
  <si>
    <t>ТТК №54</t>
  </si>
  <si>
    <t>ТТК №18</t>
  </si>
  <si>
    <t>Филе цыплёнка запечённое</t>
  </si>
  <si>
    <t>Печенье "Курабье"</t>
  </si>
  <si>
    <t>15/25</t>
  </si>
  <si>
    <t>№349-2015г.</t>
  </si>
  <si>
    <t>Компот из смеси сухофруктов</t>
  </si>
  <si>
    <t>Завтрак 5-11 кл с доплатой 70,00 руб. и льготники с доплатой 50,00 руб.; ДМГ 77,00 1 смена</t>
  </si>
  <si>
    <t>Обед 6-7 кл. с доплатой 70,00 руб. и льготники с доплатой 50,00 руб.; ДМГ 77,00 2-я смена</t>
  </si>
  <si>
    <t>№312-2015г.</t>
  </si>
  <si>
    <t>Пюре картофельное</t>
  </si>
  <si>
    <t>№82-2015г.</t>
  </si>
  <si>
    <t>№295-2015г.</t>
  </si>
  <si>
    <t>Котлета рубленая из бройлер-цыплят</t>
  </si>
  <si>
    <t>№686-2004г.</t>
  </si>
  <si>
    <t>Чай с лимоном</t>
  </si>
  <si>
    <t>200/15/7</t>
  </si>
  <si>
    <t>Борщ со свежей капустой и картофелем со сметаной и зеленью</t>
  </si>
  <si>
    <t>Печенье "Сахарное"</t>
  </si>
  <si>
    <t>Фрукт</t>
  </si>
  <si>
    <t>№338-2015г.</t>
  </si>
  <si>
    <t>Яблоко свежее</t>
  </si>
  <si>
    <t>№1-2015г.</t>
  </si>
  <si>
    <t>Бутерброд с маслом</t>
  </si>
  <si>
    <t>10/30</t>
  </si>
  <si>
    <t>Напиток</t>
  </si>
  <si>
    <t>№388-2015г.</t>
  </si>
  <si>
    <t>Напиток из плодов шиповника</t>
  </si>
  <si>
    <t>Пряник</t>
  </si>
  <si>
    <t>№392-2015г.</t>
  </si>
  <si>
    <t>Пельмени отварные с маслом</t>
  </si>
  <si>
    <t>70/1,5</t>
  </si>
  <si>
    <t>140/3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</si>
</sst>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/>
    <xf numFmtId="2" fontId="6" fillId="0" borderId="2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2" fontId="5" fillId="0" borderId="14" xfId="0" applyNumberFormat="1" applyFont="1" applyBorder="1" applyAlignment="1">
      <alignment vertical="center" wrapText="1"/>
    </xf>
    <xf numFmtId="2" fontId="5" fillId="0" borderId="15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2" fontId="5" fillId="0" borderId="9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2" fontId="6" fillId="0" borderId="7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2" fontId="9" fillId="0" borderId="4" xfId="0" applyNumberFormat="1" applyFont="1" applyBorder="1" applyAlignment="1">
      <alignment horizontal="right" vertical="center" wrapText="1"/>
    </xf>
    <xf numFmtId="2" fontId="9" fillId="0" borderId="12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/>
    <xf numFmtId="2" fontId="5" fillId="0" borderId="15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/>
    <xf numFmtId="0" fontId="5" fillId="0" borderId="27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2" fontId="6" fillId="0" borderId="36" xfId="0" applyNumberFormat="1" applyFont="1" applyBorder="1" applyAlignment="1">
      <alignment vertical="center" wrapText="1"/>
    </xf>
    <xf numFmtId="0" fontId="5" fillId="0" borderId="0" xfId="0" applyFont="1"/>
    <xf numFmtId="0" fontId="10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4" xfId="1" applyFont="1" applyBorder="1" applyAlignment="1">
      <alignment horizontal="left" vertical="center" wrapText="1"/>
    </xf>
    <xf numFmtId="0" fontId="11" fillId="0" borderId="4" xfId="1" applyFont="1" applyBorder="1" applyAlignment="1">
      <alignment vertical="center" wrapText="1"/>
    </xf>
    <xf numFmtId="2" fontId="9" fillId="0" borderId="4" xfId="1" applyNumberFormat="1" applyFont="1" applyBorder="1" applyAlignment="1">
      <alignment horizontal="right" vertical="center" wrapText="1"/>
    </xf>
    <xf numFmtId="2" fontId="9" fillId="0" borderId="12" xfId="1" applyNumberFormat="1" applyFont="1" applyBorder="1" applyAlignment="1">
      <alignment horizontal="right" vertical="center" wrapText="1"/>
    </xf>
    <xf numFmtId="0" fontId="11" fillId="0" borderId="4" xfId="2" applyFont="1" applyBorder="1" applyAlignment="1">
      <alignment horizontal="left" vertical="center" wrapText="1"/>
    </xf>
    <xf numFmtId="2" fontId="9" fillId="0" borderId="4" xfId="2" applyNumberFormat="1" applyFont="1" applyBorder="1" applyAlignment="1">
      <alignment horizontal="right" vertical="center" wrapText="1"/>
    </xf>
    <xf numFmtId="2" fontId="9" fillId="0" borderId="12" xfId="2" applyNumberFormat="1" applyFont="1" applyBorder="1" applyAlignment="1">
      <alignment horizontal="right"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8" xfId="0" applyFont="1" applyBorder="1" applyAlignment="1">
      <alignment horizontal="right" vertical="center" wrapText="1"/>
    </xf>
    <xf numFmtId="2" fontId="5" fillId="0" borderId="38" xfId="0" applyNumberFormat="1" applyFont="1" applyBorder="1" applyAlignment="1">
      <alignment horizontal="right" vertical="center" wrapText="1"/>
    </xf>
    <xf numFmtId="2" fontId="5" fillId="0" borderId="39" xfId="0" applyNumberFormat="1" applyFont="1" applyBorder="1" applyAlignment="1">
      <alignment horizontal="right" vertical="center" wrapText="1"/>
    </xf>
    <xf numFmtId="2" fontId="6" fillId="0" borderId="24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6" fillId="0" borderId="35" xfId="0" applyFont="1" applyBorder="1" applyAlignment="1">
      <alignment horizontal="right" vertical="center" wrapText="1"/>
    </xf>
    <xf numFmtId="0" fontId="6" fillId="0" borderId="36" xfId="0" applyFont="1" applyBorder="1" applyAlignment="1">
      <alignment horizontal="right" vertical="center" wrapText="1"/>
    </xf>
    <xf numFmtId="0" fontId="5" fillId="0" borderId="0" xfId="0" applyFont="1"/>
    <xf numFmtId="0" fontId="6" fillId="0" borderId="5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left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4 2" xfId="6"/>
    <cellStyle name="Обычный 2 5" xfId="5"/>
    <cellStyle name="Обычный 2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37" workbookViewId="0">
      <selection activeCell="J48" sqref="J48"/>
    </sheetView>
  </sheetViews>
  <sheetFormatPr defaultRowHeight="15" x14ac:dyDescent="0.25"/>
  <cols>
    <col min="1" max="1" width="20.140625" style="2" customWidth="1"/>
    <col min="2" max="2" width="24.710937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78" t="s">
        <v>21</v>
      </c>
      <c r="C1" s="79"/>
      <c r="D1" s="1" t="s">
        <v>1</v>
      </c>
      <c r="E1" s="25"/>
      <c r="F1" s="1" t="s">
        <v>2</v>
      </c>
      <c r="G1" s="80">
        <v>44908</v>
      </c>
      <c r="H1" s="81"/>
      <c r="I1" s="81"/>
      <c r="J1" s="82"/>
      <c r="K1" s="1"/>
      <c r="L1" s="1"/>
    </row>
    <row r="2" spans="1:12" ht="15.75" thickBot="1" x14ac:dyDescent="0.3">
      <c r="A2" s="29" t="s">
        <v>3</v>
      </c>
      <c r="B2" s="4" t="s">
        <v>4</v>
      </c>
      <c r="C2" s="30" t="s">
        <v>5</v>
      </c>
      <c r="D2" s="33" t="s">
        <v>6</v>
      </c>
      <c r="E2" s="33" t="s">
        <v>7</v>
      </c>
      <c r="F2" s="33" t="s">
        <v>8</v>
      </c>
      <c r="G2" s="4" t="s">
        <v>9</v>
      </c>
      <c r="H2" s="4" t="s">
        <v>10</v>
      </c>
      <c r="I2" s="4" t="s">
        <v>11</v>
      </c>
      <c r="J2" s="31" t="s">
        <v>12</v>
      </c>
    </row>
    <row r="3" spans="1:12" s="40" customFormat="1" ht="15.75" x14ac:dyDescent="0.25">
      <c r="A3" s="87" t="s">
        <v>26</v>
      </c>
      <c r="B3" s="44" t="s">
        <v>30</v>
      </c>
      <c r="C3" s="45" t="s">
        <v>44</v>
      </c>
      <c r="D3" s="45" t="s">
        <v>43</v>
      </c>
      <c r="E3" s="46" t="s">
        <v>48</v>
      </c>
      <c r="F3" s="14">
        <v>44.82</v>
      </c>
      <c r="G3" s="14">
        <f>202*0.15+229.7*0.25</f>
        <v>87.724999999999994</v>
      </c>
      <c r="H3" s="14">
        <f>22.5*0.15+6.7*0.25</f>
        <v>5.05</v>
      </c>
      <c r="I3" s="14">
        <f>12.5*0.15+1.1*0.25</f>
        <v>2.15</v>
      </c>
      <c r="J3" s="15">
        <f>0+48.3*0.25</f>
        <v>12.074999999999999</v>
      </c>
    </row>
    <row r="4" spans="1:12" ht="15" customHeight="1" x14ac:dyDescent="0.25">
      <c r="A4" s="88"/>
      <c r="B4" s="7" t="s">
        <v>13</v>
      </c>
      <c r="C4" s="5" t="s">
        <v>56</v>
      </c>
      <c r="D4" s="52" t="s">
        <v>57</v>
      </c>
      <c r="E4" s="16">
        <v>70</v>
      </c>
      <c r="F4" s="6">
        <v>31.65</v>
      </c>
      <c r="G4" s="23">
        <f>161*1.4</f>
        <v>225.39999999999998</v>
      </c>
      <c r="H4" s="53">
        <f>7.61*1.4</f>
        <v>10.654</v>
      </c>
      <c r="I4" s="53">
        <f>11.1*1.4</f>
        <v>15.54</v>
      </c>
      <c r="J4" s="54">
        <f>7.66*1.4</f>
        <v>10.724</v>
      </c>
    </row>
    <row r="5" spans="1:12" s="36" customFormat="1" ht="15" customHeight="1" x14ac:dyDescent="0.25">
      <c r="A5" s="88"/>
      <c r="B5" s="7" t="s">
        <v>17</v>
      </c>
      <c r="C5" s="48" t="s">
        <v>53</v>
      </c>
      <c r="D5" s="49" t="s">
        <v>54</v>
      </c>
      <c r="E5" s="16">
        <v>150</v>
      </c>
      <c r="F5" s="6">
        <v>15.6</v>
      </c>
      <c r="G5" s="50">
        <f>915*0.15</f>
        <v>137.25</v>
      </c>
      <c r="H5" s="50">
        <f>20.43*0.15</f>
        <v>3.0644999999999998</v>
      </c>
      <c r="I5" s="50">
        <f>32.01*0.15</f>
        <v>4.8014999999999999</v>
      </c>
      <c r="J5" s="51">
        <f>136.26*0.15</f>
        <v>20.438999999999997</v>
      </c>
    </row>
    <row r="6" spans="1:12" s="26" customFormat="1" x14ac:dyDescent="0.25">
      <c r="A6" s="88"/>
      <c r="B6" s="7" t="s">
        <v>18</v>
      </c>
      <c r="C6" s="5" t="s">
        <v>58</v>
      </c>
      <c r="D6" s="5" t="s">
        <v>59</v>
      </c>
      <c r="E6" s="16" t="s">
        <v>60</v>
      </c>
      <c r="F6" s="6">
        <v>3.74</v>
      </c>
      <c r="G6" s="6">
        <v>62</v>
      </c>
      <c r="H6" s="6">
        <v>0.13</v>
      </c>
      <c r="I6" s="6">
        <v>0.02</v>
      </c>
      <c r="J6" s="8">
        <v>15.2</v>
      </c>
      <c r="K6"/>
    </row>
    <row r="7" spans="1:12" s="35" customFormat="1" ht="15.75" thickBot="1" x14ac:dyDescent="0.3">
      <c r="A7" s="89"/>
      <c r="B7" s="9" t="s">
        <v>14</v>
      </c>
      <c r="C7" s="10" t="s">
        <v>31</v>
      </c>
      <c r="D7" s="10" t="s">
        <v>32</v>
      </c>
      <c r="E7" s="17">
        <v>34.5</v>
      </c>
      <c r="F7" s="18">
        <v>1.34</v>
      </c>
      <c r="G7" s="18">
        <f>229.7*0.345</f>
        <v>79.246499999999983</v>
      </c>
      <c r="H7" s="11">
        <f>6.7*0.345</f>
        <v>2.3114999999999997</v>
      </c>
      <c r="I7" s="11">
        <f>1.1*0.345</f>
        <v>0.3795</v>
      </c>
      <c r="J7" s="12">
        <f>48.3*0.345</f>
        <v>16.663499999999999</v>
      </c>
    </row>
    <row r="8" spans="1:12" ht="16.5" thickBot="1" x14ac:dyDescent="0.3">
      <c r="A8" s="62" t="s">
        <v>15</v>
      </c>
      <c r="B8" s="83"/>
      <c r="C8" s="83"/>
      <c r="D8" s="83"/>
      <c r="E8" s="84"/>
      <c r="F8" s="60">
        <f>SUM(F3:F7)</f>
        <v>97.149999999999991</v>
      </c>
      <c r="G8" s="60">
        <f>SUM(G3:G7)</f>
        <v>591.62149999999997</v>
      </c>
      <c r="H8" s="60">
        <f>SUM(H3:H7)</f>
        <v>21.209999999999997</v>
      </c>
      <c r="I8" s="60">
        <f>SUM(I3:I7)</f>
        <v>22.890999999999998</v>
      </c>
      <c r="J8" s="60">
        <f>SUM(J3:J7)</f>
        <v>75.101500000000001</v>
      </c>
    </row>
    <row r="9" spans="1:12" ht="30" x14ac:dyDescent="0.25">
      <c r="A9" s="65" t="s">
        <v>27</v>
      </c>
      <c r="B9" s="55" t="s">
        <v>16</v>
      </c>
      <c r="C9" s="56" t="s">
        <v>55</v>
      </c>
      <c r="D9" s="56" t="s">
        <v>61</v>
      </c>
      <c r="E9" s="57" t="s">
        <v>41</v>
      </c>
      <c r="F9" s="58">
        <v>12.46</v>
      </c>
      <c r="G9" s="58">
        <f>415*0.25+162*0.1</f>
        <v>119.95</v>
      </c>
      <c r="H9" s="58">
        <f>7.21*0.25+2.6*0.1</f>
        <v>2.0625</v>
      </c>
      <c r="I9" s="58">
        <f>19.68*0.25+15*0.1</f>
        <v>6.42</v>
      </c>
      <c r="J9" s="59">
        <f>43.73*0.25+3.6*0.1</f>
        <v>11.292499999999999</v>
      </c>
      <c r="K9"/>
    </row>
    <row r="10" spans="1:12" x14ac:dyDescent="0.25">
      <c r="A10" s="65"/>
      <c r="B10" s="7" t="s">
        <v>13</v>
      </c>
      <c r="C10" s="5" t="s">
        <v>45</v>
      </c>
      <c r="D10" s="5" t="s">
        <v>46</v>
      </c>
      <c r="E10" s="16">
        <v>18</v>
      </c>
      <c r="F10" s="6">
        <v>14.42</v>
      </c>
      <c r="G10" s="23">
        <f>129.15/50*18</f>
        <v>46.494</v>
      </c>
      <c r="H10" s="23">
        <f>17.2/50*18</f>
        <v>6.1919999999999993</v>
      </c>
      <c r="I10" s="23">
        <f>3.8/50*18</f>
        <v>1.3679999999999999</v>
      </c>
      <c r="J10" s="24">
        <f>6.6/50*18</f>
        <v>2.3760000000000003</v>
      </c>
      <c r="K10"/>
    </row>
    <row r="11" spans="1:12" s="37" customFormat="1" ht="15.75" x14ac:dyDescent="0.25">
      <c r="A11" s="65"/>
      <c r="B11" s="7" t="s">
        <v>17</v>
      </c>
      <c r="C11" s="48" t="s">
        <v>53</v>
      </c>
      <c r="D11" s="49" t="s">
        <v>54</v>
      </c>
      <c r="E11" s="16">
        <v>110</v>
      </c>
      <c r="F11" s="6">
        <v>11.44</v>
      </c>
      <c r="G11" s="50">
        <f>915*0.11</f>
        <v>100.65</v>
      </c>
      <c r="H11" s="50">
        <f>20.43*0.11</f>
        <v>2.2473000000000001</v>
      </c>
      <c r="I11" s="50">
        <f>32.01*0.11</f>
        <v>3.5210999999999997</v>
      </c>
      <c r="J11" s="51">
        <f>136.26*0.11</f>
        <v>14.9886</v>
      </c>
      <c r="K11"/>
    </row>
    <row r="12" spans="1:12" s="26" customFormat="1" x14ac:dyDescent="0.25">
      <c r="A12" s="65"/>
      <c r="B12" s="7" t="s">
        <v>18</v>
      </c>
      <c r="C12" s="5" t="s">
        <v>19</v>
      </c>
      <c r="D12" s="5" t="s">
        <v>20</v>
      </c>
      <c r="E12" s="16" t="s">
        <v>33</v>
      </c>
      <c r="F12" s="6">
        <v>2.21</v>
      </c>
      <c r="G12" s="6">
        <v>60</v>
      </c>
      <c r="H12" s="6">
        <v>7.0000000000000007E-2</v>
      </c>
      <c r="I12" s="6">
        <v>0.02</v>
      </c>
      <c r="J12" s="8">
        <v>15</v>
      </c>
    </row>
    <row r="13" spans="1:12" ht="15.75" thickBot="1" x14ac:dyDescent="0.3">
      <c r="A13" s="65"/>
      <c r="B13" s="9" t="s">
        <v>14</v>
      </c>
      <c r="C13" s="10" t="s">
        <v>31</v>
      </c>
      <c r="D13" s="10" t="s">
        <v>32</v>
      </c>
      <c r="E13" s="17">
        <v>45.5</v>
      </c>
      <c r="F13" s="18">
        <v>1.76</v>
      </c>
      <c r="G13" s="18">
        <f>229.7*0.455</f>
        <v>104.51349999999999</v>
      </c>
      <c r="H13" s="11">
        <f>6.7*0.455</f>
        <v>3.0485000000000002</v>
      </c>
      <c r="I13" s="11">
        <f>1.1*0.455</f>
        <v>0.50050000000000006</v>
      </c>
      <c r="J13" s="12">
        <f>48.3*0.455</f>
        <v>21.976499999999998</v>
      </c>
    </row>
    <row r="14" spans="1:12" ht="16.5" thickBot="1" x14ac:dyDescent="0.3">
      <c r="A14" s="85" t="s">
        <v>15</v>
      </c>
      <c r="B14" s="63"/>
      <c r="C14" s="63"/>
      <c r="D14" s="63"/>
      <c r="E14" s="64"/>
      <c r="F14" s="19">
        <f>SUM(F9:F13)</f>
        <v>42.29</v>
      </c>
      <c r="G14" s="19">
        <f t="shared" ref="G14:J14" si="0">SUM(G9:G13)</f>
        <v>431.60750000000007</v>
      </c>
      <c r="H14" s="19">
        <f t="shared" si="0"/>
        <v>13.6203</v>
      </c>
      <c r="I14" s="19">
        <f t="shared" si="0"/>
        <v>11.829600000000001</v>
      </c>
      <c r="J14" s="19">
        <f t="shared" si="0"/>
        <v>65.633600000000001</v>
      </c>
    </row>
    <row r="15" spans="1:12" s="38" customFormat="1" ht="30" x14ac:dyDescent="0.25">
      <c r="A15" s="75" t="s">
        <v>28</v>
      </c>
      <c r="B15" s="20" t="s">
        <v>16</v>
      </c>
      <c r="C15" s="21" t="s">
        <v>55</v>
      </c>
      <c r="D15" s="21" t="s">
        <v>61</v>
      </c>
      <c r="E15" s="13" t="s">
        <v>41</v>
      </c>
      <c r="F15" s="14">
        <v>12.46</v>
      </c>
      <c r="G15" s="14">
        <f>415*0.25+162*0.1</f>
        <v>119.95</v>
      </c>
      <c r="H15" s="14">
        <f>7.21*0.25+2.6*0.1</f>
        <v>2.0625</v>
      </c>
      <c r="I15" s="14">
        <f>19.68*0.25+15*0.1</f>
        <v>6.42</v>
      </c>
      <c r="J15" s="15">
        <f>43.73*0.25+3.6*0.1</f>
        <v>11.292499999999999</v>
      </c>
    </row>
    <row r="16" spans="1:12" s="41" customFormat="1" x14ac:dyDescent="0.25">
      <c r="A16" s="98"/>
      <c r="B16" s="7" t="s">
        <v>13</v>
      </c>
      <c r="C16" s="5" t="s">
        <v>45</v>
      </c>
      <c r="D16" s="5" t="s">
        <v>46</v>
      </c>
      <c r="E16" s="16">
        <v>75</v>
      </c>
      <c r="F16" s="6">
        <v>60.08</v>
      </c>
      <c r="G16" s="23">
        <f>129.15*1.5</f>
        <v>193.72500000000002</v>
      </c>
      <c r="H16" s="23">
        <f>17.2*1.5</f>
        <v>25.799999999999997</v>
      </c>
      <c r="I16" s="23">
        <f>3.8*1.5</f>
        <v>5.6999999999999993</v>
      </c>
      <c r="J16" s="24">
        <f>6.6*1.5</f>
        <v>9.8999999999999986</v>
      </c>
    </row>
    <row r="17" spans="1:11" s="34" customFormat="1" ht="15.75" x14ac:dyDescent="0.25">
      <c r="A17" s="98"/>
      <c r="B17" s="7" t="s">
        <v>17</v>
      </c>
      <c r="C17" s="48" t="s">
        <v>53</v>
      </c>
      <c r="D17" s="49" t="s">
        <v>54</v>
      </c>
      <c r="E17" s="16">
        <v>120</v>
      </c>
      <c r="F17" s="6">
        <v>12.48</v>
      </c>
      <c r="G17" s="50">
        <f>915*0.12</f>
        <v>109.8</v>
      </c>
      <c r="H17" s="50">
        <f>20.43*0.12</f>
        <v>2.4516</v>
      </c>
      <c r="I17" s="50">
        <f>32.01*0.12</f>
        <v>3.8411999999999997</v>
      </c>
      <c r="J17" s="51">
        <f>136.26*0.12</f>
        <v>16.351199999999999</v>
      </c>
    </row>
    <row r="18" spans="1:11" s="37" customFormat="1" x14ac:dyDescent="0.25">
      <c r="A18" s="98"/>
      <c r="B18" s="7" t="s">
        <v>42</v>
      </c>
      <c r="C18" s="5" t="s">
        <v>49</v>
      </c>
      <c r="D18" s="5" t="s">
        <v>50</v>
      </c>
      <c r="E18" s="16">
        <v>200</v>
      </c>
      <c r="F18" s="6">
        <v>6.01</v>
      </c>
      <c r="G18" s="6">
        <v>132.80000000000001</v>
      </c>
      <c r="H18" s="6">
        <v>0.66</v>
      </c>
      <c r="I18" s="6">
        <v>0.09</v>
      </c>
      <c r="J18" s="8">
        <v>32.01</v>
      </c>
      <c r="K18"/>
    </row>
    <row r="19" spans="1:11" s="32" customFormat="1" x14ac:dyDescent="0.25">
      <c r="A19" s="98"/>
      <c r="B19" s="7" t="s">
        <v>37</v>
      </c>
      <c r="C19" s="5" t="s">
        <v>38</v>
      </c>
      <c r="D19" s="5" t="s">
        <v>62</v>
      </c>
      <c r="E19" s="16">
        <v>20</v>
      </c>
      <c r="F19" s="6">
        <v>4.4800000000000004</v>
      </c>
      <c r="G19" s="6">
        <f>470*0.2</f>
        <v>94</v>
      </c>
      <c r="H19" s="6">
        <f>9*0.2</f>
        <v>1.8</v>
      </c>
      <c r="I19" s="6">
        <f>18*0.2</f>
        <v>3.6</v>
      </c>
      <c r="J19" s="8">
        <f>68*0.2</f>
        <v>13.600000000000001</v>
      </c>
    </row>
    <row r="20" spans="1:11" s="39" customFormat="1" ht="15.75" thickBot="1" x14ac:dyDescent="0.3">
      <c r="A20" s="98"/>
      <c r="B20" s="9" t="s">
        <v>14</v>
      </c>
      <c r="C20" s="10" t="s">
        <v>31</v>
      </c>
      <c r="D20" s="10" t="s">
        <v>32</v>
      </c>
      <c r="E20" s="17">
        <v>42.5</v>
      </c>
      <c r="F20" s="18">
        <v>1.64</v>
      </c>
      <c r="G20" s="18">
        <f>229.7*0.425</f>
        <v>97.622499999999988</v>
      </c>
      <c r="H20" s="11">
        <f>6.7*0.425</f>
        <v>2.8475000000000001</v>
      </c>
      <c r="I20" s="11">
        <f>1.1*0.425</f>
        <v>0.46750000000000003</v>
      </c>
      <c r="J20" s="12">
        <f>48.3*0.425</f>
        <v>20.5275</v>
      </c>
      <c r="K20"/>
    </row>
    <row r="21" spans="1:11" s="27" customFormat="1" ht="16.5" thickBot="1" x14ac:dyDescent="0.3">
      <c r="A21" s="62" t="s">
        <v>15</v>
      </c>
      <c r="B21" s="63"/>
      <c r="C21" s="63"/>
      <c r="D21" s="63"/>
      <c r="E21" s="77"/>
      <c r="F21" s="19">
        <f>SUM(F15:F20)</f>
        <v>97.15</v>
      </c>
      <c r="G21" s="19">
        <f>SUM(G15:G20)</f>
        <v>747.89750000000004</v>
      </c>
      <c r="H21" s="19">
        <f>SUM(H15:H20)</f>
        <v>35.621600000000001</v>
      </c>
      <c r="I21" s="19">
        <f>SUM(I15:I20)</f>
        <v>20.1187</v>
      </c>
      <c r="J21" s="19">
        <f>SUM(J15:J20)</f>
        <v>103.68119999999999</v>
      </c>
      <c r="K21"/>
    </row>
    <row r="22" spans="1:11" s="37" customFormat="1" x14ac:dyDescent="0.25">
      <c r="A22" s="93" t="s">
        <v>29</v>
      </c>
      <c r="B22" s="20" t="s">
        <v>30</v>
      </c>
      <c r="C22" s="21" t="s">
        <v>66</v>
      </c>
      <c r="D22" s="21" t="s">
        <v>67</v>
      </c>
      <c r="E22" s="46" t="s">
        <v>68</v>
      </c>
      <c r="F22" s="14">
        <v>16.649999999999999</v>
      </c>
      <c r="G22" s="14">
        <f>66*1+229.7*0.3</f>
        <v>134.91</v>
      </c>
      <c r="H22" s="14">
        <f>0.08*1+6.7*0.3</f>
        <v>2.09</v>
      </c>
      <c r="I22" s="14">
        <f>7.25*1+1.1*0.3</f>
        <v>7.58</v>
      </c>
      <c r="J22" s="15">
        <f>0.13*1+48.3*0.3</f>
        <v>14.62</v>
      </c>
      <c r="K22"/>
    </row>
    <row r="23" spans="1:11" s="37" customFormat="1" x14ac:dyDescent="0.25">
      <c r="A23" s="94"/>
      <c r="B23" s="7" t="s">
        <v>18</v>
      </c>
      <c r="C23" s="5" t="s">
        <v>19</v>
      </c>
      <c r="D23" s="5" t="s">
        <v>20</v>
      </c>
      <c r="E23" s="16" t="s">
        <v>33</v>
      </c>
      <c r="F23" s="6">
        <v>2.21</v>
      </c>
      <c r="G23" s="6">
        <v>60</v>
      </c>
      <c r="H23" s="6">
        <v>7.0000000000000007E-2</v>
      </c>
      <c r="I23" s="6">
        <v>0.02</v>
      </c>
      <c r="J23" s="8">
        <v>15</v>
      </c>
      <c r="K23"/>
    </row>
    <row r="24" spans="1:11" s="37" customFormat="1" ht="15.75" thickBot="1" x14ac:dyDescent="0.3">
      <c r="A24" s="94"/>
      <c r="B24" s="9" t="s">
        <v>63</v>
      </c>
      <c r="C24" s="10" t="s">
        <v>64</v>
      </c>
      <c r="D24" s="10" t="s">
        <v>65</v>
      </c>
      <c r="E24" s="17">
        <v>240</v>
      </c>
      <c r="F24" s="18">
        <v>23.43</v>
      </c>
      <c r="G24" s="18">
        <f>47*2.4</f>
        <v>112.8</v>
      </c>
      <c r="H24" s="11">
        <f>0.4*2.4</f>
        <v>0.96</v>
      </c>
      <c r="I24" s="11">
        <f>0.4*2.4</f>
        <v>0.96</v>
      </c>
      <c r="J24" s="12">
        <f>9.8*2.4</f>
        <v>23.52</v>
      </c>
      <c r="K24"/>
    </row>
    <row r="25" spans="1:11" s="37" customFormat="1" ht="16.5" thickBot="1" x14ac:dyDescent="0.3">
      <c r="A25" s="95" t="s">
        <v>15</v>
      </c>
      <c r="B25" s="96"/>
      <c r="C25" s="96"/>
      <c r="D25" s="96"/>
      <c r="E25" s="97"/>
      <c r="F25" s="3">
        <f>SUM(F22:F24)</f>
        <v>42.29</v>
      </c>
      <c r="G25" s="3">
        <f>SUM(G22:G24)</f>
        <v>307.70999999999998</v>
      </c>
      <c r="H25" s="3">
        <f>SUM(H22:H24)</f>
        <v>3.1199999999999997</v>
      </c>
      <c r="I25" s="3">
        <f>SUM(I22:I24)</f>
        <v>8.5599999999999987</v>
      </c>
      <c r="J25" s="3">
        <f>SUM(J22:J24)</f>
        <v>53.14</v>
      </c>
      <c r="K25"/>
    </row>
    <row r="26" spans="1:11" x14ac:dyDescent="0.25">
      <c r="A26" s="90" t="s">
        <v>51</v>
      </c>
      <c r="B26" s="20" t="s">
        <v>30</v>
      </c>
      <c r="C26" s="21" t="s">
        <v>39</v>
      </c>
      <c r="D26" s="21" t="s">
        <v>40</v>
      </c>
      <c r="E26" s="13">
        <v>30</v>
      </c>
      <c r="F26" s="14">
        <v>7.82</v>
      </c>
      <c r="G26" s="14">
        <f>6*0.6</f>
        <v>3.5999999999999996</v>
      </c>
      <c r="H26" s="14">
        <f>0.35*0.6</f>
        <v>0.21</v>
      </c>
      <c r="I26" s="14">
        <f>0.05*0.6</f>
        <v>0.03</v>
      </c>
      <c r="J26" s="15">
        <f>0.95*0.6</f>
        <v>0.56999999999999995</v>
      </c>
    </row>
    <row r="27" spans="1:11" ht="15.75" x14ac:dyDescent="0.25">
      <c r="A27" s="91"/>
      <c r="B27" s="7" t="s">
        <v>13</v>
      </c>
      <c r="C27" s="5" t="s">
        <v>56</v>
      </c>
      <c r="D27" s="52" t="s">
        <v>57</v>
      </c>
      <c r="E27" s="16">
        <v>75</v>
      </c>
      <c r="F27" s="6">
        <v>33.909999999999997</v>
      </c>
      <c r="G27" s="23">
        <f>161*1.5</f>
        <v>241.5</v>
      </c>
      <c r="H27" s="53">
        <f>7.61*1.5</f>
        <v>11.415000000000001</v>
      </c>
      <c r="I27" s="53">
        <f>11.1*1.5</f>
        <v>16.649999999999999</v>
      </c>
      <c r="J27" s="54">
        <f>7.66*1.5</f>
        <v>11.49</v>
      </c>
    </row>
    <row r="28" spans="1:11" ht="15.75" customHeight="1" x14ac:dyDescent="0.25">
      <c r="A28" s="91"/>
      <c r="B28" s="7" t="s">
        <v>17</v>
      </c>
      <c r="C28" s="48" t="s">
        <v>53</v>
      </c>
      <c r="D28" s="49" t="s">
        <v>54</v>
      </c>
      <c r="E28" s="16">
        <v>140</v>
      </c>
      <c r="F28" s="6">
        <v>14.56</v>
      </c>
      <c r="G28" s="50">
        <f>915*0.14</f>
        <v>128.10000000000002</v>
      </c>
      <c r="H28" s="50">
        <f>20.43*0.14</f>
        <v>2.8602000000000003</v>
      </c>
      <c r="I28" s="50">
        <f>32.01*0.14</f>
        <v>4.4813999999999998</v>
      </c>
      <c r="J28" s="51">
        <f>136.26*0.14</f>
        <v>19.0764</v>
      </c>
    </row>
    <row r="29" spans="1:11" x14ac:dyDescent="0.25">
      <c r="A29" s="91"/>
      <c r="B29" s="7" t="s">
        <v>69</v>
      </c>
      <c r="C29" s="5" t="s">
        <v>70</v>
      </c>
      <c r="D29" s="5" t="s">
        <v>71</v>
      </c>
      <c r="E29" s="16">
        <v>200</v>
      </c>
      <c r="F29" s="6">
        <v>11.06</v>
      </c>
      <c r="G29" s="6">
        <v>88.2</v>
      </c>
      <c r="H29" s="6">
        <v>0.68</v>
      </c>
      <c r="I29" s="6">
        <v>0.28000000000000003</v>
      </c>
      <c r="J29" s="8">
        <v>20.76</v>
      </c>
    </row>
    <row r="30" spans="1:11" s="47" customFormat="1" x14ac:dyDescent="0.25">
      <c r="A30" s="91"/>
      <c r="B30" s="7" t="s">
        <v>37</v>
      </c>
      <c r="C30" s="5" t="s">
        <v>38</v>
      </c>
      <c r="D30" s="5" t="s">
        <v>72</v>
      </c>
      <c r="E30" s="16">
        <v>35</v>
      </c>
      <c r="F30" s="6">
        <v>8.2899999999999991</v>
      </c>
      <c r="G30" s="6">
        <f>350*0.35</f>
        <v>122.49999999999999</v>
      </c>
      <c r="H30" s="6">
        <f>5*0.35</f>
        <v>1.75</v>
      </c>
      <c r="I30" s="6">
        <f>6*0.35</f>
        <v>2.0999999999999996</v>
      </c>
      <c r="J30" s="8">
        <f>69*0.35</f>
        <v>24.15</v>
      </c>
    </row>
    <row r="31" spans="1:11" ht="15" customHeight="1" thickBot="1" x14ac:dyDescent="0.3">
      <c r="A31" s="92"/>
      <c r="B31" s="9" t="s">
        <v>14</v>
      </c>
      <c r="C31" s="10" t="s">
        <v>31</v>
      </c>
      <c r="D31" s="10" t="s">
        <v>32</v>
      </c>
      <c r="E31" s="17">
        <v>35</v>
      </c>
      <c r="F31" s="18">
        <v>1.36</v>
      </c>
      <c r="G31" s="18">
        <f>229.7*0.35</f>
        <v>80.394999999999996</v>
      </c>
      <c r="H31" s="11">
        <f>6.7*0.35</f>
        <v>2.3449999999999998</v>
      </c>
      <c r="I31" s="11">
        <f>1.1*0.35</f>
        <v>0.38500000000000001</v>
      </c>
      <c r="J31" s="12">
        <f>48.3*0.35</f>
        <v>16.904999999999998</v>
      </c>
    </row>
    <row r="32" spans="1:11" ht="15" customHeight="1" thickBot="1" x14ac:dyDescent="0.3">
      <c r="A32" s="86" t="s">
        <v>15</v>
      </c>
      <c r="B32" s="63"/>
      <c r="C32" s="63"/>
      <c r="D32" s="63"/>
      <c r="E32" s="64"/>
      <c r="F32" s="19">
        <f>SUM(F26:F31)</f>
        <v>76.999999999999986</v>
      </c>
      <c r="G32" s="19">
        <f t="shared" ref="G32:J32" si="1">SUM(G26:G31)</f>
        <v>664.29499999999996</v>
      </c>
      <c r="H32" s="19">
        <f t="shared" si="1"/>
        <v>19.260200000000001</v>
      </c>
      <c r="I32" s="19">
        <f t="shared" si="1"/>
        <v>23.926400000000005</v>
      </c>
      <c r="J32" s="19">
        <f t="shared" si="1"/>
        <v>92.951400000000007</v>
      </c>
    </row>
    <row r="33" spans="1:10" x14ac:dyDescent="0.25">
      <c r="A33" s="71" t="s">
        <v>34</v>
      </c>
      <c r="B33" s="20" t="s">
        <v>30</v>
      </c>
      <c r="C33" s="21" t="s">
        <v>39</v>
      </c>
      <c r="D33" s="21" t="s">
        <v>40</v>
      </c>
      <c r="E33" s="13">
        <v>30</v>
      </c>
      <c r="F33" s="14">
        <v>7.82</v>
      </c>
      <c r="G33" s="14">
        <f>6*0.6</f>
        <v>3.5999999999999996</v>
      </c>
      <c r="H33" s="14">
        <f>0.35*0.6</f>
        <v>0.21</v>
      </c>
      <c r="I33" s="14">
        <f>0.05*0.6</f>
        <v>0.03</v>
      </c>
      <c r="J33" s="15">
        <f>0.95*0.6</f>
        <v>0.56999999999999995</v>
      </c>
    </row>
    <row r="34" spans="1:10" s="47" customFormat="1" ht="15.75" x14ac:dyDescent="0.25">
      <c r="A34" s="72"/>
      <c r="B34" s="7" t="s">
        <v>17</v>
      </c>
      <c r="C34" s="48" t="s">
        <v>53</v>
      </c>
      <c r="D34" s="49" t="s">
        <v>54</v>
      </c>
      <c r="E34" s="16">
        <v>150</v>
      </c>
      <c r="F34" s="6">
        <v>15.6</v>
      </c>
      <c r="G34" s="50">
        <f>915*0.15</f>
        <v>137.25</v>
      </c>
      <c r="H34" s="50">
        <f>20.43*0.15</f>
        <v>3.0644999999999998</v>
      </c>
      <c r="I34" s="50">
        <f>32.01*0.15</f>
        <v>4.8014999999999999</v>
      </c>
      <c r="J34" s="51">
        <f>136.26*0.15</f>
        <v>20.438999999999997</v>
      </c>
    </row>
    <row r="35" spans="1:10" x14ac:dyDescent="0.25">
      <c r="A35" s="72"/>
      <c r="B35" s="7" t="s">
        <v>18</v>
      </c>
      <c r="C35" s="5" t="s">
        <v>19</v>
      </c>
      <c r="D35" s="5" t="s">
        <v>20</v>
      </c>
      <c r="E35" s="16" t="s">
        <v>33</v>
      </c>
      <c r="F35" s="6">
        <v>2.21</v>
      </c>
      <c r="G35" s="6">
        <v>60</v>
      </c>
      <c r="H35" s="6">
        <v>7.0000000000000007E-2</v>
      </c>
      <c r="I35" s="6">
        <v>0.02</v>
      </c>
      <c r="J35" s="8">
        <v>15</v>
      </c>
    </row>
    <row r="36" spans="1:10" ht="15.75" thickBot="1" x14ac:dyDescent="0.3">
      <c r="A36" s="73"/>
      <c r="B36" s="9" t="s">
        <v>14</v>
      </c>
      <c r="C36" s="10" t="s">
        <v>31</v>
      </c>
      <c r="D36" s="10" t="s">
        <v>32</v>
      </c>
      <c r="E36" s="17">
        <v>35.5</v>
      </c>
      <c r="F36" s="18">
        <v>1.37</v>
      </c>
      <c r="G36" s="18">
        <f>229.7*0.355</f>
        <v>81.543499999999995</v>
      </c>
      <c r="H36" s="11">
        <f>6.7*0.355</f>
        <v>2.3784999999999998</v>
      </c>
      <c r="I36" s="11">
        <f>1.1*0.355</f>
        <v>0.39050000000000001</v>
      </c>
      <c r="J36" s="12">
        <f>48.3*0.355</f>
        <v>17.1465</v>
      </c>
    </row>
    <row r="37" spans="1:10" ht="16.5" thickBot="1" x14ac:dyDescent="0.3">
      <c r="A37" s="74" t="s">
        <v>15</v>
      </c>
      <c r="B37" s="63"/>
      <c r="C37" s="63"/>
      <c r="D37" s="63"/>
      <c r="E37" s="64"/>
      <c r="F37" s="19">
        <f>SUM(F33:F36)</f>
        <v>27.000000000000004</v>
      </c>
      <c r="G37" s="19">
        <f>SUM(G33:G36)</f>
        <v>282.39350000000002</v>
      </c>
      <c r="H37" s="19">
        <f>SUM(H33:H36)</f>
        <v>5.722999999999999</v>
      </c>
      <c r="I37" s="19">
        <f>SUM(I33:I36)</f>
        <v>5.242</v>
      </c>
      <c r="J37" s="19">
        <f>SUM(J33:J36)</f>
        <v>53.155500000000004</v>
      </c>
    </row>
    <row r="38" spans="1:10" ht="46.5" customHeight="1" x14ac:dyDescent="0.25">
      <c r="A38" s="75" t="s">
        <v>35</v>
      </c>
      <c r="B38" s="20" t="s">
        <v>18</v>
      </c>
      <c r="C38" s="21" t="s">
        <v>19</v>
      </c>
      <c r="D38" s="21" t="s">
        <v>20</v>
      </c>
      <c r="E38" s="13" t="s">
        <v>33</v>
      </c>
      <c r="F38" s="14">
        <v>2.21</v>
      </c>
      <c r="G38" s="14">
        <v>60</v>
      </c>
      <c r="H38" s="14">
        <v>7.0000000000000007E-2</v>
      </c>
      <c r="I38" s="14">
        <v>0.02</v>
      </c>
      <c r="J38" s="15">
        <v>15</v>
      </c>
    </row>
    <row r="39" spans="1:10" ht="15.75" thickBot="1" x14ac:dyDescent="0.3">
      <c r="A39" s="76"/>
      <c r="B39" s="9" t="s">
        <v>37</v>
      </c>
      <c r="C39" s="10" t="s">
        <v>38</v>
      </c>
      <c r="D39" s="10" t="s">
        <v>62</v>
      </c>
      <c r="E39" s="17">
        <v>20</v>
      </c>
      <c r="F39" s="18">
        <v>4.79</v>
      </c>
      <c r="G39" s="18">
        <f>470*0.2</f>
        <v>94</v>
      </c>
      <c r="H39" s="18">
        <f>9*0.2</f>
        <v>1.8</v>
      </c>
      <c r="I39" s="18">
        <f>18*0.2</f>
        <v>3.6</v>
      </c>
      <c r="J39" s="28">
        <f>68*0.2</f>
        <v>13.600000000000001</v>
      </c>
    </row>
    <row r="40" spans="1:10" ht="16.5" thickBot="1" x14ac:dyDescent="0.3">
      <c r="A40" s="62" t="s">
        <v>15</v>
      </c>
      <c r="B40" s="63"/>
      <c r="C40" s="63"/>
      <c r="D40" s="63"/>
      <c r="E40" s="77"/>
      <c r="F40" s="19">
        <f>SUM(F38:F39)</f>
        <v>7</v>
      </c>
      <c r="G40" s="19">
        <f>SUM(G38:G39)</f>
        <v>154</v>
      </c>
      <c r="H40" s="19">
        <f t="shared" ref="H40:J40" si="2">SUM(H38:H39)</f>
        <v>1.87</v>
      </c>
      <c r="I40" s="19">
        <f t="shared" si="2"/>
        <v>3.62</v>
      </c>
      <c r="J40" s="19">
        <f t="shared" si="2"/>
        <v>28.6</v>
      </c>
    </row>
    <row r="41" spans="1:10" ht="30" x14ac:dyDescent="0.25">
      <c r="A41" s="65" t="s">
        <v>36</v>
      </c>
      <c r="B41" s="20" t="s">
        <v>16</v>
      </c>
      <c r="C41" s="21" t="s">
        <v>55</v>
      </c>
      <c r="D41" s="21" t="s">
        <v>61</v>
      </c>
      <c r="E41" s="13" t="s">
        <v>41</v>
      </c>
      <c r="F41" s="14">
        <v>12.46</v>
      </c>
      <c r="G41" s="14">
        <f>415*0.25+162*0.1</f>
        <v>119.95</v>
      </c>
      <c r="H41" s="14">
        <f>7.21*0.25+2.6*0.1</f>
        <v>2.0625</v>
      </c>
      <c r="I41" s="14">
        <f>19.68*0.25+15*0.1</f>
        <v>6.42</v>
      </c>
      <c r="J41" s="15">
        <f>43.73*0.25+3.6*0.1</f>
        <v>11.292499999999999</v>
      </c>
    </row>
    <row r="42" spans="1:10" x14ac:dyDescent="0.25">
      <c r="A42" s="65"/>
      <c r="B42" s="7" t="s">
        <v>13</v>
      </c>
      <c r="C42" s="5" t="s">
        <v>73</v>
      </c>
      <c r="D42" s="5" t="s">
        <v>74</v>
      </c>
      <c r="E42" s="16" t="s">
        <v>75</v>
      </c>
      <c r="F42" s="6">
        <v>29</v>
      </c>
      <c r="G42" s="23">
        <f>282/15*7+66*0.15</f>
        <v>141.5</v>
      </c>
      <c r="H42" s="23">
        <f>9.08/15*7+0.08*0.15</f>
        <v>4.2493333333333334</v>
      </c>
      <c r="I42" s="23">
        <f>14.1/15*7+7.25*0.15</f>
        <v>7.6675000000000004</v>
      </c>
      <c r="J42" s="24">
        <f>29.7/15*7+0.13*0.15</f>
        <v>13.8795</v>
      </c>
    </row>
    <row r="43" spans="1:10" x14ac:dyDescent="0.25">
      <c r="A43" s="65"/>
      <c r="B43" s="7" t="s">
        <v>18</v>
      </c>
      <c r="C43" s="5" t="s">
        <v>19</v>
      </c>
      <c r="D43" s="5" t="s">
        <v>20</v>
      </c>
      <c r="E43" s="16" t="s">
        <v>33</v>
      </c>
      <c r="F43" s="6">
        <v>2.21</v>
      </c>
      <c r="G43" s="6">
        <v>60</v>
      </c>
      <c r="H43" s="6">
        <v>7.0000000000000007E-2</v>
      </c>
      <c r="I43" s="6">
        <v>0.02</v>
      </c>
      <c r="J43" s="8">
        <v>15</v>
      </c>
    </row>
    <row r="44" spans="1:10" ht="15.75" thickBot="1" x14ac:dyDescent="0.3">
      <c r="A44" s="65"/>
      <c r="B44" s="9" t="s">
        <v>14</v>
      </c>
      <c r="C44" s="10" t="s">
        <v>31</v>
      </c>
      <c r="D44" s="10" t="s">
        <v>32</v>
      </c>
      <c r="E44" s="17">
        <v>34.5</v>
      </c>
      <c r="F44" s="18">
        <v>1.33</v>
      </c>
      <c r="G44" s="18">
        <f>229.7*0.345</f>
        <v>79.246499999999983</v>
      </c>
      <c r="H44" s="11">
        <f>6.7*0.345</f>
        <v>2.3114999999999997</v>
      </c>
      <c r="I44" s="11">
        <f>1.1*0.345</f>
        <v>0.3795</v>
      </c>
      <c r="J44" s="12">
        <f>48.3*0.345</f>
        <v>16.663499999999999</v>
      </c>
    </row>
    <row r="45" spans="1:10" ht="16.5" thickBot="1" x14ac:dyDescent="0.3">
      <c r="A45" s="62" t="s">
        <v>15</v>
      </c>
      <c r="B45" s="63"/>
      <c r="C45" s="63"/>
      <c r="D45" s="63"/>
      <c r="E45" s="64"/>
      <c r="F45" s="19">
        <f>SUM(F41:F44)</f>
        <v>45</v>
      </c>
      <c r="G45" s="19">
        <f>SUM(G41:G44)</f>
        <v>400.69649999999996</v>
      </c>
      <c r="H45" s="19">
        <f>SUM(H41:H44)</f>
        <v>8.6933333333333334</v>
      </c>
      <c r="I45" s="19">
        <f>SUM(I41:I44)</f>
        <v>14.487</v>
      </c>
      <c r="J45" s="19">
        <f>SUM(J41:J44)</f>
        <v>56.835499999999996</v>
      </c>
    </row>
    <row r="46" spans="1:10" ht="30" x14ac:dyDescent="0.25">
      <c r="A46" s="65" t="s">
        <v>52</v>
      </c>
      <c r="B46" s="20" t="s">
        <v>16</v>
      </c>
      <c r="C46" s="21" t="s">
        <v>55</v>
      </c>
      <c r="D46" s="21" t="s">
        <v>61</v>
      </c>
      <c r="E46" s="13" t="s">
        <v>41</v>
      </c>
      <c r="F46" s="14">
        <v>12.46</v>
      </c>
      <c r="G46" s="14">
        <f>415*0.25+162*0.1</f>
        <v>119.95</v>
      </c>
      <c r="H46" s="14">
        <f>7.21*0.25+2.6*0.1</f>
        <v>2.0625</v>
      </c>
      <c r="I46" s="14">
        <f>19.68*0.25+15*0.1</f>
        <v>6.42</v>
      </c>
      <c r="J46" s="15">
        <f>43.73*0.25+3.6*0.1</f>
        <v>11.292499999999999</v>
      </c>
    </row>
    <row r="47" spans="1:10" x14ac:dyDescent="0.25">
      <c r="A47" s="65"/>
      <c r="B47" s="7" t="s">
        <v>13</v>
      </c>
      <c r="C47" s="5" t="s">
        <v>73</v>
      </c>
      <c r="D47" s="5" t="s">
        <v>74</v>
      </c>
      <c r="E47" s="16" t="s">
        <v>76</v>
      </c>
      <c r="F47" s="6">
        <v>58</v>
      </c>
      <c r="G47" s="23">
        <f>282/15*14+66*0.3</f>
        <v>283</v>
      </c>
      <c r="H47" s="23">
        <f>9.08/15*14+0.08*0.3</f>
        <v>8.4986666666666668</v>
      </c>
      <c r="I47" s="23">
        <f>14.1/15*14+7.25*0.3</f>
        <v>15.335000000000001</v>
      </c>
      <c r="J47" s="24">
        <f>29.7/15*14+0.13*0.3</f>
        <v>27.759</v>
      </c>
    </row>
    <row r="48" spans="1:10" x14ac:dyDescent="0.25">
      <c r="A48" s="65"/>
      <c r="B48" s="7" t="s">
        <v>18</v>
      </c>
      <c r="C48" s="5" t="s">
        <v>19</v>
      </c>
      <c r="D48" s="5" t="s">
        <v>20</v>
      </c>
      <c r="E48" s="16" t="s">
        <v>33</v>
      </c>
      <c r="F48" s="6">
        <v>2.21</v>
      </c>
      <c r="G48" s="6">
        <v>60</v>
      </c>
      <c r="H48" s="6">
        <v>7.0000000000000007E-2</v>
      </c>
      <c r="I48" s="6">
        <v>0.02</v>
      </c>
      <c r="J48" s="8">
        <v>15</v>
      </c>
    </row>
    <row r="49" spans="1:10" x14ac:dyDescent="0.25">
      <c r="A49" s="65"/>
      <c r="B49" s="7" t="s">
        <v>37</v>
      </c>
      <c r="C49" s="5" t="s">
        <v>38</v>
      </c>
      <c r="D49" s="5" t="s">
        <v>47</v>
      </c>
      <c r="E49" s="16">
        <v>13</v>
      </c>
      <c r="F49" s="6">
        <v>3.64</v>
      </c>
      <c r="G49" s="6">
        <f>83.3/17*13</f>
        <v>63.699999999999996</v>
      </c>
      <c r="H49" s="6">
        <f>0.78/17*13</f>
        <v>0.59647058823529409</v>
      </c>
      <c r="I49" s="6">
        <f>3.96/17*13</f>
        <v>3.0282352941176471</v>
      </c>
      <c r="J49" s="8">
        <f>11.27/17*13</f>
        <v>8.6182352941176479</v>
      </c>
    </row>
    <row r="50" spans="1:10" ht="15.75" thickBot="1" x14ac:dyDescent="0.3">
      <c r="A50" s="65"/>
      <c r="B50" s="9" t="s">
        <v>14</v>
      </c>
      <c r="C50" s="10" t="s">
        <v>31</v>
      </c>
      <c r="D50" s="10" t="s">
        <v>32</v>
      </c>
      <c r="E50" s="17">
        <v>18</v>
      </c>
      <c r="F50" s="18">
        <v>0.69</v>
      </c>
      <c r="G50" s="18">
        <f>229.7*0.18</f>
        <v>41.345999999999997</v>
      </c>
      <c r="H50" s="11">
        <f>6.7*0.18</f>
        <v>1.206</v>
      </c>
      <c r="I50" s="11">
        <f>1.1*0.18</f>
        <v>0.19800000000000001</v>
      </c>
      <c r="J50" s="12">
        <f>48.3*0.18</f>
        <v>8.6939999999999991</v>
      </c>
    </row>
    <row r="51" spans="1:10" ht="16.5" thickBot="1" x14ac:dyDescent="0.3">
      <c r="A51" s="62" t="s">
        <v>15</v>
      </c>
      <c r="B51" s="66"/>
      <c r="C51" s="66"/>
      <c r="D51" s="66"/>
      <c r="E51" s="67"/>
      <c r="F51" s="42">
        <f>SUM(F46:F50)</f>
        <v>77</v>
      </c>
      <c r="G51" s="42">
        <f>SUM(G46:G50)</f>
        <v>567.99599999999998</v>
      </c>
      <c r="H51" s="42">
        <f>SUM(H46:H50)</f>
        <v>12.43363725490196</v>
      </c>
      <c r="I51" s="42">
        <f>SUM(I46:I50)</f>
        <v>25.001235294117649</v>
      </c>
      <c r="J51" s="42">
        <f>SUM(J46:J50)</f>
        <v>71.363735294117646</v>
      </c>
    </row>
    <row r="52" spans="1:10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5.75" thickBot="1" x14ac:dyDescent="0.3">
      <c r="A53" s="68" t="s">
        <v>24</v>
      </c>
      <c r="B53" s="68"/>
      <c r="C53" s="68"/>
      <c r="D53" s="68"/>
      <c r="E53" s="68"/>
      <c r="F53" s="68"/>
      <c r="G53" s="68"/>
      <c r="H53" s="68"/>
      <c r="I53" s="68"/>
      <c r="J53" s="68"/>
    </row>
    <row r="54" spans="1:10" ht="15.75" x14ac:dyDescent="0.25">
      <c r="A54" s="22"/>
      <c r="B54" s="22"/>
      <c r="C54" s="69" t="s">
        <v>22</v>
      </c>
      <c r="D54" s="69"/>
      <c r="E54" s="43"/>
      <c r="F54" s="43"/>
      <c r="G54" s="70"/>
      <c r="H54" s="70"/>
      <c r="I54" s="70"/>
      <c r="J54" s="70"/>
    </row>
    <row r="55" spans="1:10" x14ac:dyDescent="0.25">
      <c r="A55" s="1"/>
      <c r="B55" s="1"/>
      <c r="C55" s="1"/>
      <c r="D55" s="1"/>
      <c r="E55" s="43"/>
      <c r="F55" s="43"/>
      <c r="G55" s="43"/>
      <c r="H55" s="43"/>
      <c r="I55" s="43"/>
      <c r="J55" s="43"/>
    </row>
    <row r="56" spans="1:10" x14ac:dyDescent="0.25">
      <c r="A56" s="61" t="s">
        <v>23</v>
      </c>
      <c r="B56" s="61"/>
      <c r="C56" s="43"/>
      <c r="D56" s="43"/>
      <c r="E56" s="43"/>
      <c r="F56" s="43"/>
      <c r="G56" s="43"/>
      <c r="H56" s="43"/>
      <c r="I56" s="43"/>
      <c r="J56" s="43"/>
    </row>
    <row r="57" spans="1:10" x14ac:dyDescent="0.25">
      <c r="A57" s="61" t="s">
        <v>25</v>
      </c>
      <c r="B57" s="61"/>
      <c r="C57" s="43"/>
      <c r="D57" s="43"/>
      <c r="E57" s="43"/>
      <c r="F57" s="43"/>
      <c r="G57" s="43"/>
      <c r="H57" s="43"/>
      <c r="I57" s="43"/>
      <c r="J57" s="43"/>
    </row>
  </sheetData>
  <mergeCells count="25">
    <mergeCell ref="A32:E32"/>
    <mergeCell ref="A21:E21"/>
    <mergeCell ref="A3:A7"/>
    <mergeCell ref="A26:A31"/>
    <mergeCell ref="A22:A24"/>
    <mergeCell ref="A25:E25"/>
    <mergeCell ref="A15:A20"/>
    <mergeCell ref="B1:C1"/>
    <mergeCell ref="G1:J1"/>
    <mergeCell ref="A8:E8"/>
    <mergeCell ref="A9:A13"/>
    <mergeCell ref="A14:E14"/>
    <mergeCell ref="A33:A36"/>
    <mergeCell ref="A37:E37"/>
    <mergeCell ref="A38:A39"/>
    <mergeCell ref="A40:E40"/>
    <mergeCell ref="A41:A44"/>
    <mergeCell ref="A56:B56"/>
    <mergeCell ref="A57:B57"/>
    <mergeCell ref="A45:E45"/>
    <mergeCell ref="A46:A50"/>
    <mergeCell ref="A51:E51"/>
    <mergeCell ref="A53:J53"/>
    <mergeCell ref="C54:D54"/>
    <mergeCell ref="G54:J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2022-12-12T12:25:04Z</dcterms:modified>
</cp:coreProperties>
</file>