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I48" i="1"/>
  <c r="H48" i="1"/>
  <c r="G48" i="1"/>
  <c r="J47" i="1"/>
  <c r="I47" i="1"/>
  <c r="H47" i="1"/>
  <c r="G47" i="1"/>
  <c r="J45" i="1"/>
  <c r="I45" i="1"/>
  <c r="H45" i="1"/>
  <c r="G45" i="1"/>
  <c r="J44" i="1"/>
  <c r="I44" i="1"/>
  <c r="H44" i="1"/>
  <c r="G44" i="1"/>
  <c r="J41" i="1" l="1"/>
  <c r="I41" i="1"/>
  <c r="H41" i="1"/>
  <c r="G41" i="1"/>
  <c r="J34" i="1"/>
  <c r="I34" i="1"/>
  <c r="H34" i="1"/>
  <c r="G34" i="1"/>
  <c r="J32" i="1"/>
  <c r="I32" i="1"/>
  <c r="H32" i="1"/>
  <c r="G32" i="1"/>
  <c r="J29" i="1"/>
  <c r="I29" i="1"/>
  <c r="H29" i="1"/>
  <c r="G29" i="1"/>
  <c r="J24" i="1" l="1"/>
  <c r="I24" i="1"/>
  <c r="H24" i="1"/>
  <c r="G24" i="1"/>
  <c r="J26" i="1"/>
  <c r="I26" i="1"/>
  <c r="H26" i="1"/>
  <c r="G26" i="1"/>
  <c r="F49" i="1"/>
  <c r="J43" i="1"/>
  <c r="J49" i="1" s="1"/>
  <c r="I43" i="1"/>
  <c r="I49" i="1" s="1"/>
  <c r="H43" i="1"/>
  <c r="H49" i="1" s="1"/>
  <c r="G43" i="1"/>
  <c r="G49" i="1" s="1"/>
  <c r="F42" i="1"/>
  <c r="J39" i="1"/>
  <c r="I39" i="1"/>
  <c r="H39" i="1"/>
  <c r="G39" i="1"/>
  <c r="J38" i="1"/>
  <c r="I38" i="1"/>
  <c r="H38" i="1"/>
  <c r="G38" i="1"/>
  <c r="J37" i="1"/>
  <c r="J42" i="1" s="1"/>
  <c r="I37" i="1"/>
  <c r="I42" i="1" s="1"/>
  <c r="H37" i="1"/>
  <c r="H42" i="1" s="1"/>
  <c r="G37" i="1"/>
  <c r="G42" i="1" s="1"/>
  <c r="J36" i="1"/>
  <c r="F36" i="1"/>
  <c r="I36" i="1"/>
  <c r="H36" i="1"/>
  <c r="G36" i="1"/>
  <c r="F33" i="1"/>
  <c r="J30" i="1"/>
  <c r="I30" i="1"/>
  <c r="H30" i="1"/>
  <c r="G30" i="1"/>
  <c r="J33" i="1"/>
  <c r="I33" i="1"/>
  <c r="H33" i="1"/>
  <c r="G33" i="1"/>
  <c r="F28" i="1"/>
  <c r="J25" i="1"/>
  <c r="I25" i="1"/>
  <c r="H25" i="1"/>
  <c r="G25" i="1"/>
  <c r="J28" i="1"/>
  <c r="I28" i="1"/>
  <c r="H28" i="1"/>
  <c r="G28" i="1"/>
  <c r="J22" i="1"/>
  <c r="I22" i="1"/>
  <c r="H22" i="1"/>
  <c r="G22" i="1"/>
  <c r="J19" i="1"/>
  <c r="I19" i="1"/>
  <c r="H19" i="1"/>
  <c r="G19" i="1"/>
  <c r="J17" i="1"/>
  <c r="I17" i="1"/>
  <c r="H17" i="1"/>
  <c r="G17" i="1"/>
  <c r="J16" i="1"/>
  <c r="I16" i="1"/>
  <c r="H16" i="1"/>
  <c r="G16" i="1"/>
  <c r="J13" i="1" l="1"/>
  <c r="I13" i="1"/>
  <c r="H13" i="1"/>
  <c r="G13" i="1"/>
  <c r="J7" i="1" l="1"/>
  <c r="I7" i="1"/>
  <c r="H7" i="1"/>
  <c r="G7" i="1"/>
  <c r="J6" i="1"/>
  <c r="I6" i="1"/>
  <c r="H6" i="1"/>
  <c r="G6" i="1"/>
  <c r="J4" i="1" l="1"/>
  <c r="I4" i="1"/>
  <c r="H4" i="1"/>
  <c r="G4" i="1"/>
  <c r="J3" i="1"/>
  <c r="I3" i="1"/>
  <c r="H3" i="1"/>
  <c r="G3" i="1"/>
  <c r="J10" i="1" l="1"/>
  <c r="I10" i="1"/>
  <c r="H10" i="1"/>
  <c r="G10" i="1"/>
  <c r="F8" i="1" l="1"/>
  <c r="J9" i="1" l="1"/>
  <c r="I9" i="1"/>
  <c r="H9" i="1"/>
  <c r="G9" i="1"/>
  <c r="J15" i="1" l="1"/>
  <c r="I15" i="1"/>
  <c r="H15" i="1"/>
  <c r="G15" i="1"/>
  <c r="F20" i="1" l="1"/>
  <c r="J20" i="1" l="1"/>
  <c r="I20" i="1"/>
  <c r="H20" i="1"/>
  <c r="G20" i="1"/>
  <c r="F14" i="1" l="1"/>
  <c r="G23" i="1" l="1"/>
  <c r="H23" i="1"/>
  <c r="I23" i="1"/>
  <c r="J23" i="1"/>
  <c r="F23" i="1"/>
  <c r="J14" i="1" l="1"/>
  <c r="H14" i="1"/>
  <c r="G14" i="1"/>
  <c r="I14" i="1" l="1"/>
  <c r="G8" i="1"/>
  <c r="H8" i="1"/>
  <c r="I8" i="1"/>
  <c r="J8" i="1"/>
</calcChain>
</file>

<file path=xl/sharedStrings.xml><?xml version="1.0" encoding="utf-8"?>
<sst xmlns="http://schemas.openxmlformats.org/spreadsheetml/2006/main" count="163" uniqueCount="70">
  <si>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</si>
  <si>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</si>
  <si>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</si>
  <si>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</si>
  <si>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</si>
  <si>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</si>
  <si>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</si>
  <si>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</si>
  <si>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</si>
  <si>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</si>
  <si>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</si>
  <si>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</si>
  <si>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</si>
  <si>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</si>
  <si>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</si>
  <si>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</si>
  <si>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</si>
  <si>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</si>
  <si>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</si>
  <si>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</si>
  <si>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</si>
  <si>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</si>
  <si>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</si>
  <si>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</si>
  <si>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</si>
  <si>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</si>
  <si>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</si>
  <si>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</si>
  <si>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</si>
  <si>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</si>
  <si>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</si>
  <si>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</si>
  <si>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</si>
  <si>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</si>
  <si>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№96-2015г.</t>
  </si>
  <si>
    <t>Рассольник ленинградский со сметаной и зеленью</t>
  </si>
  <si>
    <t>250/10/2</t>
  </si>
  <si>
    <t>№268-2015г.</t>
  </si>
  <si>
    <t>Котлета из свинины</t>
  </si>
  <si>
    <t>№302-2015г.</t>
  </si>
  <si>
    <t>Каша рассыпчатая гречневая</t>
  </si>
  <si>
    <t>Завтрак 1-4 кл и дети-инвалиды 1 смена</t>
  </si>
  <si>
    <t>ТТК №18</t>
  </si>
  <si>
    <t>Филе цыплёнка запечённое</t>
  </si>
  <si>
    <t>Кондитерское изделие</t>
  </si>
  <si>
    <t>ПР</t>
  </si>
  <si>
    <t>№304-2015г.</t>
  </si>
  <si>
    <t>Рис отварной</t>
  </si>
  <si>
    <t>№382-2015г.</t>
  </si>
  <si>
    <t>Какао с молоком</t>
  </si>
  <si>
    <t>№306-2015г.</t>
  </si>
  <si>
    <t>Напиток</t>
  </si>
  <si>
    <t>Печенье "Сахарное"</t>
  </si>
  <si>
    <t>Молочный коктейль "Авишка" 2,5%</t>
  </si>
  <si>
    <t>200</t>
  </si>
  <si>
    <t xml:space="preserve">Обед дети-инвалиды 1-4 кл 1 смена </t>
  </si>
  <si>
    <t>Обед 1-4 кл., дети-инвалиды 2 смена, ГПД</t>
  </si>
  <si>
    <t>Завтрак 5-11 кл с доплатой 70,00 руб. и льготники с доплатой 50,00 руб.; ДМГ 77,00 1 смена</t>
  </si>
  <si>
    <t>Обед 6-7 кл. с доплатой 70,00 руб. и льготники с доплатой 50,00 руб.; ДМГ 77,00 2-я смена</t>
  </si>
  <si>
    <t>№11-2004г.</t>
  </si>
  <si>
    <t>Бутерброд горячий с колбасой и сыром</t>
  </si>
  <si>
    <t>15/10/20</t>
  </si>
  <si>
    <t>Бобовые отварные (горошек зелёный консервированный)</t>
  </si>
  <si>
    <t>№2-2015г.</t>
  </si>
  <si>
    <t>Бутерброд с повидлом</t>
  </si>
  <si>
    <t>25/29</t>
  </si>
  <si>
    <t>Напиток (сладкое блюдо)</t>
  </si>
  <si>
    <t>№342-2015г.</t>
  </si>
  <si>
    <t>Компот из свежих яблок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</si>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</sst>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2" fontId="4" fillId="0" borderId="11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2" fontId="4" fillId="0" borderId="13" xfId="0" applyNumberFormat="1" applyFont="1" applyBorder="1" applyAlignment="1">
      <alignment vertical="center" wrapText="1"/>
    </xf>
    <xf numFmtId="2" fontId="4" fillId="0" borderId="14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4" fillId="0" borderId="9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2" fontId="4" fillId="0" borderId="13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2" fontId="5" fillId="0" borderId="21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2" fontId="8" fillId="0" borderId="4" xfId="0" applyNumberFormat="1" applyFont="1" applyBorder="1" applyAlignment="1">
      <alignment horizontal="right" vertical="center" wrapText="1"/>
    </xf>
    <xf numFmtId="2" fontId="8" fillId="0" borderId="11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vertical="center" wrapText="1"/>
    </xf>
    <xf numFmtId="0" fontId="4" fillId="0" borderId="0" xfId="0" applyFont="1"/>
    <xf numFmtId="2" fontId="5" fillId="0" borderId="25" xfId="0" applyNumberFormat="1" applyFont="1" applyBorder="1" applyAlignment="1">
      <alignment vertical="center" wrapText="1"/>
    </xf>
    <xf numFmtId="0" fontId="4" fillId="0" borderId="0" xfId="0" applyFont="1"/>
    <xf numFmtId="0" fontId="4" fillId="0" borderId="0" xfId="0" applyFont="1"/>
    <xf numFmtId="2" fontId="4" fillId="0" borderId="14" xfId="0" applyNumberFormat="1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4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7" xfId="0" applyFont="1" applyBorder="1" applyAlignment="1">
      <alignment horizontal="left" vertical="center" wrapText="1"/>
    </xf>
    <xf numFmtId="0" fontId="4" fillId="0" borderId="0" xfId="0" applyFont="1"/>
    <xf numFmtId="2" fontId="8" fillId="0" borderId="8" xfId="0" applyNumberFormat="1" applyFont="1" applyBorder="1" applyAlignment="1">
      <alignment horizontal="right" vertical="center" wrapText="1"/>
    </xf>
    <xf numFmtId="2" fontId="8" fillId="0" borderId="9" xfId="0" applyNumberFormat="1" applyFont="1" applyBorder="1" applyAlignment="1">
      <alignment horizontal="right" vertical="center" wrapText="1"/>
    </xf>
    <xf numFmtId="2" fontId="4" fillId="0" borderId="8" xfId="6" applyNumberFormat="1" applyFont="1" applyBorder="1" applyAlignment="1">
      <alignment horizontal="right" vertical="center" wrapText="1"/>
    </xf>
    <xf numFmtId="2" fontId="4" fillId="0" borderId="9" xfId="6" applyNumberFormat="1" applyFont="1" applyBorder="1" applyAlignment="1">
      <alignment horizontal="right" vertical="center" wrapText="1"/>
    </xf>
    <xf numFmtId="0" fontId="4" fillId="0" borderId="8" xfId="6" applyFont="1" applyBorder="1" applyAlignment="1">
      <alignment vertical="center" wrapText="1"/>
    </xf>
    <xf numFmtId="2" fontId="11" fillId="0" borderId="8" xfId="7" applyNumberFormat="1" applyFont="1" applyBorder="1" applyAlignment="1">
      <alignment horizontal="right" vertical="center"/>
    </xf>
    <xf numFmtId="2" fontId="5" fillId="0" borderId="30" xfId="0" applyNumberFormat="1" applyFont="1" applyBorder="1" applyAlignment="1">
      <alignment vertical="center" wrapText="1"/>
    </xf>
    <xf numFmtId="2" fontId="5" fillId="0" borderId="36" xfId="0" applyNumberFormat="1" applyFont="1" applyBorder="1" applyAlignment="1">
      <alignment vertical="center" wrapText="1"/>
    </xf>
    <xf numFmtId="2" fontId="5" fillId="0" borderId="37" xfId="0" applyNumberFormat="1" applyFont="1" applyBorder="1" applyAlignment="1">
      <alignment vertical="center" wrapText="1"/>
    </xf>
    <xf numFmtId="2" fontId="5" fillId="0" borderId="35" xfId="0" applyNumberFormat="1" applyFont="1" applyBorder="1" applyAlignment="1">
      <alignment vertical="center" wrapText="1"/>
    </xf>
    <xf numFmtId="0" fontId="4" fillId="0" borderId="38" xfId="12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right" vertical="center" wrapText="1"/>
    </xf>
    <xf numFmtId="2" fontId="4" fillId="0" borderId="8" xfId="12" applyNumberFormat="1" applyFont="1" applyBorder="1" applyAlignment="1">
      <alignment horizontal="right" vertical="center" wrapText="1"/>
    </xf>
    <xf numFmtId="2" fontId="4" fillId="0" borderId="9" xfId="12" applyNumberFormat="1" applyFont="1" applyBorder="1" applyAlignment="1">
      <alignment horizontal="right" vertical="center" wrapText="1"/>
    </xf>
    <xf numFmtId="0" fontId="4" fillId="0" borderId="4" xfId="12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right" vertical="center" wrapText="1"/>
    </xf>
    <xf numFmtId="2" fontId="4" fillId="0" borderId="4" xfId="12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2" fontId="4" fillId="0" borderId="11" xfId="12" applyNumberFormat="1" applyFont="1" applyBorder="1" applyAlignment="1">
      <alignment horizontal="right" vertical="center" wrapText="1"/>
    </xf>
    <xf numFmtId="0" fontId="12" fillId="0" borderId="7" xfId="0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2" fontId="8" fillId="0" borderId="4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4" fillId="0" borderId="0" xfId="0" applyNumberFormat="1" applyFont="1"/>
    <xf numFmtId="0" fontId="6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 vertical="center" wrapText="1"/>
    </xf>
    <xf numFmtId="14" fontId="7" fillId="0" borderId="2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right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9"/>
    <cellStyle name="Обычный 2 3" xfId="3"/>
    <cellStyle name="Обычный 2 4" xfId="4"/>
    <cellStyle name="Обычный 2 4 2" xfId="10"/>
    <cellStyle name="Обычный 2 4 3" xfId="8"/>
    <cellStyle name="Обычный 2 5" xfId="5"/>
    <cellStyle name="Обычный 2 6" xfId="6"/>
    <cellStyle name="Обычный 2 6 2" xfId="11"/>
    <cellStyle name="Обычный 2 7" xfId="12"/>
    <cellStyle name="Обычный_Лист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B2" sqref="B1:B1048576"/>
    </sheetView>
  </sheetViews>
  <sheetFormatPr defaultRowHeight="15" x14ac:dyDescent="0.25"/>
  <cols>
    <col min="1" max="1" width="20.140625" style="2" customWidth="1"/>
    <col min="2" max="2" width="24.855468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90" t="s">
        <v>21</v>
      </c>
      <c r="C1" s="91"/>
      <c r="D1" s="1" t="s">
        <v>1</v>
      </c>
      <c r="E1" s="26"/>
      <c r="F1" s="1" t="s">
        <v>2</v>
      </c>
      <c r="G1" s="92">
        <v>44909</v>
      </c>
      <c r="H1" s="93"/>
      <c r="I1" s="93"/>
      <c r="J1" s="94"/>
      <c r="K1" s="1"/>
      <c r="L1" s="1"/>
    </row>
    <row r="2" spans="1:12" ht="15.75" thickBot="1" x14ac:dyDescent="0.3">
      <c r="A2" s="32" t="s">
        <v>3</v>
      </c>
      <c r="B2" s="4" t="s">
        <v>4</v>
      </c>
      <c r="C2" s="33" t="s">
        <v>5</v>
      </c>
      <c r="D2" s="37" t="s">
        <v>6</v>
      </c>
      <c r="E2" s="37" t="s">
        <v>7</v>
      </c>
      <c r="F2" s="37" t="s">
        <v>8</v>
      </c>
      <c r="G2" s="4" t="s">
        <v>9</v>
      </c>
      <c r="H2" s="4" t="s">
        <v>10</v>
      </c>
      <c r="I2" s="4" t="s">
        <v>11</v>
      </c>
      <c r="J2" s="34" t="s">
        <v>12</v>
      </c>
    </row>
    <row r="3" spans="1:12" x14ac:dyDescent="0.25">
      <c r="A3" s="72" t="s">
        <v>41</v>
      </c>
      <c r="B3" s="20" t="s">
        <v>13</v>
      </c>
      <c r="C3" s="21" t="s">
        <v>42</v>
      </c>
      <c r="D3" s="21" t="s">
        <v>43</v>
      </c>
      <c r="E3" s="13">
        <v>75</v>
      </c>
      <c r="F3" s="14">
        <v>60.08</v>
      </c>
      <c r="G3" s="47">
        <f>129.15*1.5</f>
        <v>193.72500000000002</v>
      </c>
      <c r="H3" s="47">
        <f>17.2*1.5</f>
        <v>25.799999999999997</v>
      </c>
      <c r="I3" s="47">
        <f>3.8*1.5</f>
        <v>5.6999999999999993</v>
      </c>
      <c r="J3" s="48">
        <f>6.6*1.5</f>
        <v>9.8999999999999986</v>
      </c>
    </row>
    <row r="4" spans="1:12" s="46" customFormat="1" x14ac:dyDescent="0.25">
      <c r="A4" s="72"/>
      <c r="B4" s="7" t="s">
        <v>17</v>
      </c>
      <c r="C4" s="5" t="s">
        <v>46</v>
      </c>
      <c r="D4" s="5" t="s">
        <v>47</v>
      </c>
      <c r="E4" s="16">
        <v>120</v>
      </c>
      <c r="F4" s="6">
        <v>11.94</v>
      </c>
      <c r="G4" s="6">
        <f>1398*0.12</f>
        <v>167.76</v>
      </c>
      <c r="H4" s="6">
        <f>24.34*0.12</f>
        <v>2.9207999999999998</v>
      </c>
      <c r="I4" s="6">
        <f>35.83*0.12</f>
        <v>4.2995999999999999</v>
      </c>
      <c r="J4" s="8">
        <f>244.56*0.12</f>
        <v>29.347200000000001</v>
      </c>
    </row>
    <row r="5" spans="1:12" s="46" customFormat="1" x14ac:dyDescent="0.25">
      <c r="A5" s="72"/>
      <c r="B5" s="7" t="s">
        <v>18</v>
      </c>
      <c r="C5" s="5" t="s">
        <v>48</v>
      </c>
      <c r="D5" s="5" t="s">
        <v>49</v>
      </c>
      <c r="E5" s="16">
        <v>200</v>
      </c>
      <c r="F5" s="6">
        <v>18.079999999999998</v>
      </c>
      <c r="G5" s="6">
        <v>136</v>
      </c>
      <c r="H5" s="6">
        <v>3.64</v>
      </c>
      <c r="I5" s="6">
        <v>3.35</v>
      </c>
      <c r="J5" s="8">
        <v>22.82</v>
      </c>
    </row>
    <row r="6" spans="1:12" s="44" customFormat="1" x14ac:dyDescent="0.25">
      <c r="A6" s="72"/>
      <c r="B6" s="7" t="s">
        <v>44</v>
      </c>
      <c r="C6" s="5" t="s">
        <v>45</v>
      </c>
      <c r="D6" s="5" t="s">
        <v>52</v>
      </c>
      <c r="E6" s="16">
        <v>30</v>
      </c>
      <c r="F6" s="6">
        <v>6.73</v>
      </c>
      <c r="G6" s="6">
        <f>470*0.3</f>
        <v>141</v>
      </c>
      <c r="H6" s="6">
        <f>9*0.3</f>
        <v>2.6999999999999997</v>
      </c>
      <c r="I6" s="6">
        <f>18*0.3</f>
        <v>5.3999999999999995</v>
      </c>
      <c r="J6" s="8">
        <f>68*0.3</f>
        <v>20.399999999999999</v>
      </c>
    </row>
    <row r="7" spans="1:12" s="39" customFormat="1" ht="15.75" thickBot="1" x14ac:dyDescent="0.3">
      <c r="A7" s="72"/>
      <c r="B7" s="9" t="s">
        <v>14</v>
      </c>
      <c r="C7" s="10" t="s">
        <v>28</v>
      </c>
      <c r="D7" s="10" t="s">
        <v>29</v>
      </c>
      <c r="E7" s="17">
        <v>8.5</v>
      </c>
      <c r="F7" s="18">
        <v>0.32</v>
      </c>
      <c r="G7" s="18">
        <f>229.7*0.085</f>
        <v>19.5245</v>
      </c>
      <c r="H7" s="11">
        <f>6.7*0.085</f>
        <v>0.56950000000000001</v>
      </c>
      <c r="I7" s="11">
        <f>1.1*0.085</f>
        <v>9.3500000000000014E-2</v>
      </c>
      <c r="J7" s="12">
        <f>48.3*0.085</f>
        <v>4.1055000000000001</v>
      </c>
    </row>
    <row r="8" spans="1:12" ht="16.5" thickBot="1" x14ac:dyDescent="0.3">
      <c r="A8" s="86" t="s">
        <v>15</v>
      </c>
      <c r="B8" s="98"/>
      <c r="C8" s="98"/>
      <c r="D8" s="98"/>
      <c r="E8" s="99"/>
      <c r="F8" s="53">
        <f>SUM(F3:F7)</f>
        <v>97.149999999999991</v>
      </c>
      <c r="G8" s="53">
        <f>SUM(G3:G7)</f>
        <v>658.0095</v>
      </c>
      <c r="H8" s="54">
        <f>SUM(H3:H7)</f>
        <v>35.630299999999998</v>
      </c>
      <c r="I8" s="55">
        <f>SUM(I3:I7)</f>
        <v>18.843099999999996</v>
      </c>
      <c r="J8" s="56">
        <f>SUM(J3:J7)</f>
        <v>86.572699999999998</v>
      </c>
    </row>
    <row r="9" spans="1:12" x14ac:dyDescent="0.25">
      <c r="A9" s="73" t="s">
        <v>55</v>
      </c>
      <c r="B9" s="20" t="s">
        <v>16</v>
      </c>
      <c r="C9" s="21" t="s">
        <v>34</v>
      </c>
      <c r="D9" s="21" t="s">
        <v>35</v>
      </c>
      <c r="E9" s="13" t="s">
        <v>36</v>
      </c>
      <c r="F9" s="14">
        <v>14.56</v>
      </c>
      <c r="G9" s="14">
        <f>429*0.25+162*0.1</f>
        <v>123.45</v>
      </c>
      <c r="H9" s="14">
        <f>8.07*0.25+2.6*0.1</f>
        <v>2.2774999999999999</v>
      </c>
      <c r="I9" s="14">
        <f>20.36*0.25+15*0.1</f>
        <v>6.59</v>
      </c>
      <c r="J9" s="15">
        <f>47.92*0.25+3.6*0.1</f>
        <v>12.34</v>
      </c>
      <c r="K9"/>
    </row>
    <row r="10" spans="1:12" x14ac:dyDescent="0.25">
      <c r="A10" s="73"/>
      <c r="B10" s="7" t="s">
        <v>13</v>
      </c>
      <c r="C10" s="5" t="s">
        <v>37</v>
      </c>
      <c r="D10" s="5" t="s">
        <v>38</v>
      </c>
      <c r="E10" s="16">
        <v>30</v>
      </c>
      <c r="F10" s="6">
        <v>14.24</v>
      </c>
      <c r="G10" s="24">
        <f>182/50*30</f>
        <v>109.2</v>
      </c>
      <c r="H10" s="24">
        <f>6.74/50*30</f>
        <v>4.0440000000000005</v>
      </c>
      <c r="I10" s="24">
        <f>13.91/50*30</f>
        <v>8.3460000000000001</v>
      </c>
      <c r="J10" s="25">
        <f>7.09/50*30</f>
        <v>4.2540000000000004</v>
      </c>
      <c r="K10"/>
    </row>
    <row r="11" spans="1:12" s="29" customFormat="1" x14ac:dyDescent="0.25">
      <c r="A11" s="73"/>
      <c r="B11" s="7" t="s">
        <v>17</v>
      </c>
      <c r="C11" s="5" t="s">
        <v>39</v>
      </c>
      <c r="D11" s="5" t="s">
        <v>40</v>
      </c>
      <c r="E11" s="16">
        <v>100</v>
      </c>
      <c r="F11" s="6">
        <v>9.69</v>
      </c>
      <c r="G11" s="42">
        <v>162.5</v>
      </c>
      <c r="H11" s="42">
        <v>5.73</v>
      </c>
      <c r="I11" s="42">
        <v>4.0599999999999996</v>
      </c>
      <c r="J11" s="43">
        <v>25.76</v>
      </c>
      <c r="K11"/>
    </row>
    <row r="12" spans="1:12" s="29" customFormat="1" x14ac:dyDescent="0.25">
      <c r="A12" s="73"/>
      <c r="B12" s="7" t="s">
        <v>18</v>
      </c>
      <c r="C12" s="5" t="s">
        <v>19</v>
      </c>
      <c r="D12" s="5" t="s">
        <v>20</v>
      </c>
      <c r="E12" s="16" t="s">
        <v>30</v>
      </c>
      <c r="F12" s="6">
        <v>2.21</v>
      </c>
      <c r="G12" s="6">
        <v>60</v>
      </c>
      <c r="H12" s="6">
        <v>7.0000000000000007E-2</v>
      </c>
      <c r="I12" s="6">
        <v>0.02</v>
      </c>
      <c r="J12" s="8">
        <v>15</v>
      </c>
    </row>
    <row r="13" spans="1:12" ht="15.75" thickBot="1" x14ac:dyDescent="0.3">
      <c r="A13" s="73"/>
      <c r="B13" s="9" t="s">
        <v>14</v>
      </c>
      <c r="C13" s="10" t="s">
        <v>28</v>
      </c>
      <c r="D13" s="10" t="s">
        <v>29</v>
      </c>
      <c r="E13" s="17">
        <v>41</v>
      </c>
      <c r="F13" s="18">
        <v>1.59</v>
      </c>
      <c r="G13" s="18">
        <f>229.7*0.41</f>
        <v>94.176999999999992</v>
      </c>
      <c r="H13" s="11">
        <f>6.7*0.41</f>
        <v>2.7469999999999999</v>
      </c>
      <c r="I13" s="11">
        <f>1.1*0.41</f>
        <v>0.45100000000000001</v>
      </c>
      <c r="J13" s="12">
        <f>48.3*0.41</f>
        <v>19.802999999999997</v>
      </c>
    </row>
    <row r="14" spans="1:12" ht="16.5" thickBot="1" x14ac:dyDescent="0.3">
      <c r="A14" s="100" t="s">
        <v>15</v>
      </c>
      <c r="B14" s="101"/>
      <c r="C14" s="101"/>
      <c r="D14" s="101"/>
      <c r="E14" s="102"/>
      <c r="F14" s="28">
        <f>SUM(F9:F13)</f>
        <v>42.290000000000006</v>
      </c>
      <c r="G14" s="28">
        <f t="shared" ref="G14:J14" si="0">SUM(G9:G13)</f>
        <v>549.327</v>
      </c>
      <c r="H14" s="28">
        <f t="shared" si="0"/>
        <v>14.868500000000001</v>
      </c>
      <c r="I14" s="28">
        <f t="shared" si="0"/>
        <v>19.466999999999999</v>
      </c>
      <c r="J14" s="28">
        <f t="shared" si="0"/>
        <v>77.156999999999996</v>
      </c>
    </row>
    <row r="15" spans="1:12" s="38" customFormat="1" x14ac:dyDescent="0.25">
      <c r="A15" s="77" t="s">
        <v>56</v>
      </c>
      <c r="B15" s="20" t="s">
        <v>16</v>
      </c>
      <c r="C15" s="21" t="s">
        <v>34</v>
      </c>
      <c r="D15" s="21" t="s">
        <v>35</v>
      </c>
      <c r="E15" s="13" t="s">
        <v>36</v>
      </c>
      <c r="F15" s="14">
        <v>14.56</v>
      </c>
      <c r="G15" s="14">
        <f>429*0.25+162*0.1</f>
        <v>123.45</v>
      </c>
      <c r="H15" s="14">
        <f>8.07*0.25+2.6*0.1</f>
        <v>2.2774999999999999</v>
      </c>
      <c r="I15" s="14">
        <f>20.36*0.25+15*0.1</f>
        <v>6.59</v>
      </c>
      <c r="J15" s="15">
        <f>47.92*0.25+3.6*0.1</f>
        <v>12.34</v>
      </c>
    </row>
    <row r="16" spans="1:12" s="27" customFormat="1" x14ac:dyDescent="0.25">
      <c r="A16" s="78"/>
      <c r="B16" s="7" t="s">
        <v>13</v>
      </c>
      <c r="C16" s="5" t="s">
        <v>37</v>
      </c>
      <c r="D16" s="5" t="s">
        <v>38</v>
      </c>
      <c r="E16" s="16">
        <v>65</v>
      </c>
      <c r="F16" s="6">
        <v>30.86</v>
      </c>
      <c r="G16" s="24">
        <f>182/50*65</f>
        <v>236.6</v>
      </c>
      <c r="H16" s="24">
        <f>6.74/50*65</f>
        <v>8.7620000000000005</v>
      </c>
      <c r="I16" s="24">
        <f>13.91/50*65</f>
        <v>18.082999999999998</v>
      </c>
      <c r="J16" s="25">
        <f>7.09/50*65</f>
        <v>9.2170000000000005</v>
      </c>
      <c r="K16"/>
    </row>
    <row r="17" spans="1:11" s="36" customFormat="1" x14ac:dyDescent="0.25">
      <c r="A17" s="78"/>
      <c r="B17" s="7" t="s">
        <v>17</v>
      </c>
      <c r="C17" s="5" t="s">
        <v>39</v>
      </c>
      <c r="D17" s="5" t="s">
        <v>40</v>
      </c>
      <c r="E17" s="16">
        <v>100</v>
      </c>
      <c r="F17" s="6">
        <v>9.69</v>
      </c>
      <c r="G17" s="42">
        <f>162.5*1</f>
        <v>162.5</v>
      </c>
      <c r="H17" s="42">
        <f>5.73*1</f>
        <v>5.73</v>
      </c>
      <c r="I17" s="42">
        <f>4.06*1</f>
        <v>4.0599999999999996</v>
      </c>
      <c r="J17" s="43">
        <f>25.76*1</f>
        <v>25.76</v>
      </c>
      <c r="K17"/>
    </row>
    <row r="18" spans="1:11" s="35" customFormat="1" x14ac:dyDescent="0.25">
      <c r="A18" s="78"/>
      <c r="B18" s="64" t="s">
        <v>51</v>
      </c>
      <c r="C18" s="40" t="s">
        <v>45</v>
      </c>
      <c r="D18" s="61" t="s">
        <v>53</v>
      </c>
      <c r="E18" s="62" t="s">
        <v>54</v>
      </c>
      <c r="F18" s="16">
        <v>41.02</v>
      </c>
      <c r="G18" s="6">
        <v>160</v>
      </c>
      <c r="H18" s="63">
        <v>5</v>
      </c>
      <c r="I18" s="63">
        <v>6.2</v>
      </c>
      <c r="J18" s="65">
        <v>22</v>
      </c>
    </row>
    <row r="19" spans="1:11" s="35" customFormat="1" ht="15.75" thickBot="1" x14ac:dyDescent="0.3">
      <c r="A19" s="78"/>
      <c r="B19" s="9" t="s">
        <v>14</v>
      </c>
      <c r="C19" s="10" t="s">
        <v>28</v>
      </c>
      <c r="D19" s="10" t="s">
        <v>29</v>
      </c>
      <c r="E19" s="17">
        <v>26.5</v>
      </c>
      <c r="F19" s="18">
        <v>1.02</v>
      </c>
      <c r="G19" s="18">
        <f>229.7*0.265</f>
        <v>60.8705</v>
      </c>
      <c r="H19" s="11">
        <f>6.7*0.265</f>
        <v>1.7755000000000001</v>
      </c>
      <c r="I19" s="11">
        <f>1.1*0.265</f>
        <v>0.29150000000000004</v>
      </c>
      <c r="J19" s="12">
        <f>48.3*0.265</f>
        <v>12.7995</v>
      </c>
    </row>
    <row r="20" spans="1:11" s="30" customFormat="1" ht="16.5" thickBot="1" x14ac:dyDescent="0.3">
      <c r="A20" s="86" t="s">
        <v>15</v>
      </c>
      <c r="B20" s="75"/>
      <c r="C20" s="75"/>
      <c r="D20" s="75"/>
      <c r="E20" s="103"/>
      <c r="F20" s="19">
        <f>SUM(F15:F19)</f>
        <v>97.149999999999991</v>
      </c>
      <c r="G20" s="19">
        <f>SUM(G15:G19)</f>
        <v>743.42049999999995</v>
      </c>
      <c r="H20" s="19">
        <f>SUM(H15:H19)</f>
        <v>23.545000000000002</v>
      </c>
      <c r="I20" s="19">
        <f>SUM(I15:I19)</f>
        <v>35.224499999999999</v>
      </c>
      <c r="J20" s="19">
        <f>SUM(J15:J19)</f>
        <v>82.116500000000002</v>
      </c>
      <c r="K20"/>
    </row>
    <row r="21" spans="1:11" s="35" customFormat="1" ht="33" customHeight="1" x14ac:dyDescent="0.25">
      <c r="A21" s="73" t="s">
        <v>26</v>
      </c>
      <c r="B21" s="45" t="s">
        <v>51</v>
      </c>
      <c r="C21" s="41" t="s">
        <v>45</v>
      </c>
      <c r="D21" s="57" t="s">
        <v>53</v>
      </c>
      <c r="E21" s="58" t="s">
        <v>54</v>
      </c>
      <c r="F21" s="13">
        <v>41.02</v>
      </c>
      <c r="G21" s="14">
        <v>160</v>
      </c>
      <c r="H21" s="59">
        <v>5</v>
      </c>
      <c r="I21" s="59">
        <v>6.2</v>
      </c>
      <c r="J21" s="60">
        <v>22</v>
      </c>
      <c r="K21"/>
    </row>
    <row r="22" spans="1:11" s="36" customFormat="1" ht="15.75" thickBot="1" x14ac:dyDescent="0.3">
      <c r="A22" s="73"/>
      <c r="B22" s="9" t="s">
        <v>14</v>
      </c>
      <c r="C22" s="10" t="s">
        <v>28</v>
      </c>
      <c r="D22" s="10" t="s">
        <v>29</v>
      </c>
      <c r="E22" s="17">
        <v>33</v>
      </c>
      <c r="F22" s="18">
        <v>1.27</v>
      </c>
      <c r="G22" s="18">
        <f>229.7*0.33</f>
        <v>75.801000000000002</v>
      </c>
      <c r="H22" s="11">
        <f>6.7*0.33</f>
        <v>2.2110000000000003</v>
      </c>
      <c r="I22" s="11">
        <f>1.1*0.33</f>
        <v>0.36300000000000004</v>
      </c>
      <c r="J22" s="12">
        <f>48.3*0.33</f>
        <v>15.939</v>
      </c>
    </row>
    <row r="23" spans="1:11" ht="16.5" thickBot="1" x14ac:dyDescent="0.3">
      <c r="A23" s="74" t="s">
        <v>15</v>
      </c>
      <c r="B23" s="75"/>
      <c r="C23" s="75"/>
      <c r="D23" s="75"/>
      <c r="E23" s="76"/>
      <c r="F23" s="19">
        <f>SUM(F21:F22)</f>
        <v>42.290000000000006</v>
      </c>
      <c r="G23" s="19">
        <f>SUM(G21:G22)</f>
        <v>235.80099999999999</v>
      </c>
      <c r="H23" s="19">
        <f>SUM(H21:H22)</f>
        <v>7.2110000000000003</v>
      </c>
      <c r="I23" s="19">
        <f>SUM(I21:I22)</f>
        <v>6.5630000000000006</v>
      </c>
      <c r="J23" s="19">
        <f>SUM(J21:J22)</f>
        <v>37.939</v>
      </c>
      <c r="K23"/>
    </row>
    <row r="24" spans="1:11" ht="30.75" customHeight="1" x14ac:dyDescent="0.25">
      <c r="A24" s="72" t="s">
        <v>57</v>
      </c>
      <c r="B24" s="20" t="s">
        <v>27</v>
      </c>
      <c r="C24" s="21" t="s">
        <v>59</v>
      </c>
      <c r="D24" s="51" t="s">
        <v>60</v>
      </c>
      <c r="E24" s="58" t="s">
        <v>61</v>
      </c>
      <c r="F24" s="14">
        <v>24.79</v>
      </c>
      <c r="G24" s="52">
        <f>257*0.15+364*0.1+229.7*0.2</f>
        <v>120.88999999999999</v>
      </c>
      <c r="H24" s="49">
        <f>12.8*0.15+23.2*0.1+6.7*0.2</f>
        <v>5.58</v>
      </c>
      <c r="I24" s="49">
        <f>22.2*0.15+29.5*0.1+1.1*0.2</f>
        <v>6.4999999999999991</v>
      </c>
      <c r="J24" s="50">
        <f>1.5*0.15+0+48.3*0.2</f>
        <v>9.8849999999999998</v>
      </c>
    </row>
    <row r="25" spans="1:11" x14ac:dyDescent="0.25">
      <c r="A25" s="72"/>
      <c r="B25" s="7" t="s">
        <v>13</v>
      </c>
      <c r="C25" s="5" t="s">
        <v>42</v>
      </c>
      <c r="D25" s="5" t="s">
        <v>43</v>
      </c>
      <c r="E25" s="16">
        <v>50</v>
      </c>
      <c r="F25" s="6">
        <v>40.049999999999997</v>
      </c>
      <c r="G25" s="24">
        <f>129.15*1</f>
        <v>129.15</v>
      </c>
      <c r="H25" s="24">
        <f>17.2*1</f>
        <v>17.2</v>
      </c>
      <c r="I25" s="24">
        <f>3.8*1</f>
        <v>3.8</v>
      </c>
      <c r="J25" s="25">
        <f>6.6*1</f>
        <v>6.6</v>
      </c>
    </row>
    <row r="26" spans="1:11" x14ac:dyDescent="0.25">
      <c r="A26" s="72"/>
      <c r="B26" s="7" t="s">
        <v>17</v>
      </c>
      <c r="C26" s="5" t="s">
        <v>46</v>
      </c>
      <c r="D26" s="5" t="s">
        <v>47</v>
      </c>
      <c r="E26" s="16">
        <v>100</v>
      </c>
      <c r="F26" s="6">
        <v>9.9499999999999993</v>
      </c>
      <c r="G26" s="6">
        <f>1398*0.1</f>
        <v>139.80000000000001</v>
      </c>
      <c r="H26" s="6">
        <f>24.34*0.1</f>
        <v>2.4340000000000002</v>
      </c>
      <c r="I26" s="6">
        <f>35.83*0.1</f>
        <v>3.5830000000000002</v>
      </c>
      <c r="J26" s="8">
        <f>244.56*0.1</f>
        <v>24.456000000000003</v>
      </c>
    </row>
    <row r="27" spans="1:11" ht="15.75" thickBot="1" x14ac:dyDescent="0.3">
      <c r="A27" s="72"/>
      <c r="B27" s="9" t="s">
        <v>18</v>
      </c>
      <c r="C27" s="10" t="s">
        <v>19</v>
      </c>
      <c r="D27" s="10" t="s">
        <v>20</v>
      </c>
      <c r="E27" s="17" t="s">
        <v>30</v>
      </c>
      <c r="F27" s="18">
        <v>2.21</v>
      </c>
      <c r="G27" s="18">
        <v>60</v>
      </c>
      <c r="H27" s="18">
        <v>7.0000000000000007E-2</v>
      </c>
      <c r="I27" s="18">
        <v>0.02</v>
      </c>
      <c r="J27" s="31">
        <v>15</v>
      </c>
    </row>
    <row r="28" spans="1:11" ht="16.5" thickBot="1" x14ac:dyDescent="0.3">
      <c r="A28" s="79" t="s">
        <v>15</v>
      </c>
      <c r="B28" s="75"/>
      <c r="C28" s="75"/>
      <c r="D28" s="75"/>
      <c r="E28" s="76"/>
      <c r="F28" s="19">
        <f>SUM(F24:F27)</f>
        <v>77</v>
      </c>
      <c r="G28" s="19">
        <f>SUM(G24:G27)</f>
        <v>449.84000000000003</v>
      </c>
      <c r="H28" s="19">
        <f>SUM(H24:H27)</f>
        <v>25.284000000000002</v>
      </c>
      <c r="I28" s="19">
        <f>SUM(I24:I27)</f>
        <v>13.902999999999999</v>
      </c>
      <c r="J28" s="19">
        <f>SUM(J24:J27)</f>
        <v>55.941000000000003</v>
      </c>
    </row>
    <row r="29" spans="1:11" ht="15.75" customHeight="1" x14ac:dyDescent="0.25">
      <c r="A29" s="77" t="s">
        <v>31</v>
      </c>
      <c r="B29" s="66" t="s">
        <v>27</v>
      </c>
      <c r="C29" s="41" t="s">
        <v>50</v>
      </c>
      <c r="D29" s="41" t="s">
        <v>62</v>
      </c>
      <c r="E29" s="13">
        <v>12</v>
      </c>
      <c r="F29" s="14">
        <v>8.2899999999999991</v>
      </c>
      <c r="G29" s="14">
        <f>592*0.012</f>
        <v>7.1040000000000001</v>
      </c>
      <c r="H29" s="14">
        <f>28.85*0.012</f>
        <v>0.34620000000000001</v>
      </c>
      <c r="I29" s="14">
        <f>27.24*0.012</f>
        <v>0.32688</v>
      </c>
      <c r="J29" s="15">
        <f>57.86*0.012</f>
        <v>0.69432000000000005</v>
      </c>
    </row>
    <row r="30" spans="1:11" x14ac:dyDescent="0.25">
      <c r="A30" s="78"/>
      <c r="B30" s="7" t="s">
        <v>17</v>
      </c>
      <c r="C30" s="5" t="s">
        <v>46</v>
      </c>
      <c r="D30" s="5" t="s">
        <v>47</v>
      </c>
      <c r="E30" s="16">
        <v>150</v>
      </c>
      <c r="F30" s="6">
        <v>14.93</v>
      </c>
      <c r="G30" s="6">
        <f>1398*0.15</f>
        <v>209.7</v>
      </c>
      <c r="H30" s="6">
        <f>24.34*0.15</f>
        <v>3.6509999999999998</v>
      </c>
      <c r="I30" s="6">
        <f>35.83*0.15</f>
        <v>5.3744999999999994</v>
      </c>
      <c r="J30" s="8">
        <f>244.56*0.15</f>
        <v>36.683999999999997</v>
      </c>
    </row>
    <row r="31" spans="1:11" x14ac:dyDescent="0.25">
      <c r="A31" s="78"/>
      <c r="B31" s="7" t="s">
        <v>18</v>
      </c>
      <c r="C31" s="5" t="s">
        <v>19</v>
      </c>
      <c r="D31" s="5" t="s">
        <v>20</v>
      </c>
      <c r="E31" s="16" t="s">
        <v>30</v>
      </c>
      <c r="F31" s="6">
        <v>2.21</v>
      </c>
      <c r="G31" s="6">
        <v>60</v>
      </c>
      <c r="H31" s="6">
        <v>7.0000000000000007E-2</v>
      </c>
      <c r="I31" s="6">
        <v>0.02</v>
      </c>
      <c r="J31" s="8">
        <v>15</v>
      </c>
    </row>
    <row r="32" spans="1:11" ht="15.75" thickBot="1" x14ac:dyDescent="0.3">
      <c r="A32" s="80"/>
      <c r="B32" s="9" t="s">
        <v>14</v>
      </c>
      <c r="C32" s="10" t="s">
        <v>28</v>
      </c>
      <c r="D32" s="10" t="s">
        <v>29</v>
      </c>
      <c r="E32" s="17">
        <v>40.5</v>
      </c>
      <c r="F32" s="18">
        <v>1.57</v>
      </c>
      <c r="G32" s="18">
        <f>229.7*0.405</f>
        <v>93.028500000000008</v>
      </c>
      <c r="H32" s="11">
        <f>6.7*0.405</f>
        <v>2.7135000000000002</v>
      </c>
      <c r="I32" s="11">
        <f>1.1*0.405</f>
        <v>0.44550000000000006</v>
      </c>
      <c r="J32" s="12">
        <f>48.3*0.405</f>
        <v>19.561499999999999</v>
      </c>
    </row>
    <row r="33" spans="1:10" ht="16.5" thickBot="1" x14ac:dyDescent="0.3">
      <c r="A33" s="81" t="s">
        <v>15</v>
      </c>
      <c r="B33" s="75"/>
      <c r="C33" s="75"/>
      <c r="D33" s="75"/>
      <c r="E33" s="76"/>
      <c r="F33" s="19">
        <f>SUM(F29:F32)</f>
        <v>27</v>
      </c>
      <c r="G33" s="19">
        <f>SUM(G29:G32)</f>
        <v>369.83249999999998</v>
      </c>
      <c r="H33" s="19">
        <f>SUM(H29:H32)</f>
        <v>6.7806999999999995</v>
      </c>
      <c r="I33" s="19">
        <f>SUM(I29:I32)</f>
        <v>6.166879999999999</v>
      </c>
      <c r="J33" s="19">
        <f>SUM(J29:J32)</f>
        <v>71.939819999999997</v>
      </c>
    </row>
    <row r="34" spans="1:10" x14ac:dyDescent="0.25">
      <c r="A34" s="82" t="s">
        <v>32</v>
      </c>
      <c r="B34" s="20" t="s">
        <v>27</v>
      </c>
      <c r="C34" s="21" t="s">
        <v>63</v>
      </c>
      <c r="D34" s="21" t="s">
        <v>64</v>
      </c>
      <c r="E34" s="13" t="s">
        <v>65</v>
      </c>
      <c r="F34" s="14">
        <v>4.79</v>
      </c>
      <c r="G34" s="14">
        <f>250*0.25+229.7*0.29</f>
        <v>129.113</v>
      </c>
      <c r="H34" s="14">
        <f>0.4*0.25+6.7*0.29</f>
        <v>2.0429999999999997</v>
      </c>
      <c r="I34" s="14">
        <f>0+1.1*0.29</f>
        <v>0.31900000000000001</v>
      </c>
      <c r="J34" s="15">
        <f>65*0.25+48.3*0.29</f>
        <v>30.256999999999998</v>
      </c>
    </row>
    <row r="35" spans="1:10" ht="15.75" thickBot="1" x14ac:dyDescent="0.3">
      <c r="A35" s="83"/>
      <c r="B35" s="9" t="s">
        <v>18</v>
      </c>
      <c r="C35" s="10" t="s">
        <v>19</v>
      </c>
      <c r="D35" s="10" t="s">
        <v>20</v>
      </c>
      <c r="E35" s="17" t="s">
        <v>30</v>
      </c>
      <c r="F35" s="18">
        <v>2.21</v>
      </c>
      <c r="G35" s="18">
        <v>60</v>
      </c>
      <c r="H35" s="18">
        <v>7.0000000000000007E-2</v>
      </c>
      <c r="I35" s="18">
        <v>0.02</v>
      </c>
      <c r="J35" s="31">
        <v>15</v>
      </c>
    </row>
    <row r="36" spans="1:10" ht="16.5" thickBot="1" x14ac:dyDescent="0.3">
      <c r="A36" s="84" t="s">
        <v>15</v>
      </c>
      <c r="B36" s="75"/>
      <c r="C36" s="75"/>
      <c r="D36" s="75"/>
      <c r="E36" s="76"/>
      <c r="F36" s="19">
        <f>SUM(F34:F35)</f>
        <v>7</v>
      </c>
      <c r="G36" s="19">
        <f>SUM(G34:G35)</f>
        <v>189.113</v>
      </c>
      <c r="H36" s="19">
        <f t="shared" ref="H36:J36" si="1">SUM(H34:H35)</f>
        <v>2.1129999999999995</v>
      </c>
      <c r="I36" s="19">
        <f t="shared" si="1"/>
        <v>0.33900000000000002</v>
      </c>
      <c r="J36" s="19">
        <f t="shared" si="1"/>
        <v>45.256999999999998</v>
      </c>
    </row>
    <row r="37" spans="1:10" x14ac:dyDescent="0.25">
      <c r="A37" s="85" t="s">
        <v>33</v>
      </c>
      <c r="B37" s="20" t="s">
        <v>16</v>
      </c>
      <c r="C37" s="21" t="s">
        <v>34</v>
      </c>
      <c r="D37" s="21" t="s">
        <v>35</v>
      </c>
      <c r="E37" s="13" t="s">
        <v>36</v>
      </c>
      <c r="F37" s="14">
        <v>14.56</v>
      </c>
      <c r="G37" s="14">
        <f>429*0.25+162*0.1</f>
        <v>123.45</v>
      </c>
      <c r="H37" s="14">
        <f>8.07*0.25+2.6*0.1</f>
        <v>2.2774999999999999</v>
      </c>
      <c r="I37" s="14">
        <f>20.36*0.25+15*0.1</f>
        <v>6.59</v>
      </c>
      <c r="J37" s="15">
        <f>47.92*0.25+3.6*0.1</f>
        <v>12.34</v>
      </c>
    </row>
    <row r="38" spans="1:10" x14ac:dyDescent="0.25">
      <c r="A38" s="73"/>
      <c r="B38" s="7" t="s">
        <v>13</v>
      </c>
      <c r="C38" s="5" t="s">
        <v>37</v>
      </c>
      <c r="D38" s="5" t="s">
        <v>38</v>
      </c>
      <c r="E38" s="16">
        <v>30</v>
      </c>
      <c r="F38" s="6">
        <v>14.24</v>
      </c>
      <c r="G38" s="24">
        <f>182/50*30</f>
        <v>109.2</v>
      </c>
      <c r="H38" s="24">
        <f>6.74/50*30</f>
        <v>4.0440000000000005</v>
      </c>
      <c r="I38" s="24">
        <f>13.91/50*30</f>
        <v>8.3460000000000001</v>
      </c>
      <c r="J38" s="25">
        <f>7.09/50*30</f>
        <v>4.2540000000000004</v>
      </c>
    </row>
    <row r="39" spans="1:10" x14ac:dyDescent="0.25">
      <c r="A39" s="73"/>
      <c r="B39" s="7" t="s">
        <v>17</v>
      </c>
      <c r="C39" s="5" t="s">
        <v>39</v>
      </c>
      <c r="D39" s="5" t="s">
        <v>40</v>
      </c>
      <c r="E39" s="16">
        <v>130</v>
      </c>
      <c r="F39" s="6">
        <v>12.6</v>
      </c>
      <c r="G39" s="42">
        <f>162.5*1.3</f>
        <v>211.25</v>
      </c>
      <c r="H39" s="42">
        <f>5.73*1.3</f>
        <v>7.4490000000000007</v>
      </c>
      <c r="I39" s="42">
        <f>4.06*1.3</f>
        <v>5.2779999999999996</v>
      </c>
      <c r="J39" s="43">
        <f>25.76*1.3</f>
        <v>33.488000000000007</v>
      </c>
    </row>
    <row r="40" spans="1:10" x14ac:dyDescent="0.25">
      <c r="A40" s="73"/>
      <c r="B40" s="7" t="s">
        <v>18</v>
      </c>
      <c r="C40" s="5" t="s">
        <v>19</v>
      </c>
      <c r="D40" s="5" t="s">
        <v>20</v>
      </c>
      <c r="E40" s="16" t="s">
        <v>30</v>
      </c>
      <c r="F40" s="6">
        <v>2.21</v>
      </c>
      <c r="G40" s="6">
        <v>60</v>
      </c>
      <c r="H40" s="6">
        <v>7.0000000000000007E-2</v>
      </c>
      <c r="I40" s="6">
        <v>0.02</v>
      </c>
      <c r="J40" s="8">
        <v>15</v>
      </c>
    </row>
    <row r="41" spans="1:10" ht="15.75" thickBot="1" x14ac:dyDescent="0.3">
      <c r="A41" s="73"/>
      <c r="B41" s="9" t="s">
        <v>14</v>
      </c>
      <c r="C41" s="10" t="s">
        <v>28</v>
      </c>
      <c r="D41" s="10" t="s">
        <v>29</v>
      </c>
      <c r="E41" s="17">
        <v>36</v>
      </c>
      <c r="F41" s="18">
        <v>1.39</v>
      </c>
      <c r="G41" s="18">
        <f>229.7*0.36</f>
        <v>82.691999999999993</v>
      </c>
      <c r="H41" s="11">
        <f>6.7*0.36</f>
        <v>2.4119999999999999</v>
      </c>
      <c r="I41" s="11">
        <f>1.1*0.36</f>
        <v>0.39600000000000002</v>
      </c>
      <c r="J41" s="12">
        <f>48.3*0.36</f>
        <v>17.387999999999998</v>
      </c>
    </row>
    <row r="42" spans="1:10" ht="16.5" thickBot="1" x14ac:dyDescent="0.3">
      <c r="A42" s="86" t="s">
        <v>15</v>
      </c>
      <c r="B42" s="87"/>
      <c r="C42" s="87"/>
      <c r="D42" s="87"/>
      <c r="E42" s="88"/>
      <c r="F42" s="22">
        <f>SUM(F37:F41)</f>
        <v>45</v>
      </c>
      <c r="G42" s="22">
        <f>SUM(G37:G41)</f>
        <v>586.59199999999998</v>
      </c>
      <c r="H42" s="22">
        <f>SUM(H37:H41)</f>
        <v>16.252500000000001</v>
      </c>
      <c r="I42" s="22">
        <f>SUM(I37:I41)</f>
        <v>20.63</v>
      </c>
      <c r="J42" s="22">
        <f>SUM(J37:J41)</f>
        <v>82.47</v>
      </c>
    </row>
    <row r="43" spans="1:10" x14ac:dyDescent="0.25">
      <c r="A43" s="89" t="s">
        <v>58</v>
      </c>
      <c r="B43" s="20" t="s">
        <v>16</v>
      </c>
      <c r="C43" s="21" t="s">
        <v>34</v>
      </c>
      <c r="D43" s="21" t="s">
        <v>35</v>
      </c>
      <c r="E43" s="13" t="s">
        <v>36</v>
      </c>
      <c r="F43" s="14">
        <v>14.56</v>
      </c>
      <c r="G43" s="14">
        <f>429*0.25+162*0.1</f>
        <v>123.45</v>
      </c>
      <c r="H43" s="14">
        <f>8.07*0.25+2.6*0.1</f>
        <v>2.2774999999999999</v>
      </c>
      <c r="I43" s="14">
        <f>20.36*0.25+15*0.1</f>
        <v>6.59</v>
      </c>
      <c r="J43" s="15">
        <f>47.92*0.25+3.6*0.1</f>
        <v>12.34</v>
      </c>
    </row>
    <row r="44" spans="1:10" x14ac:dyDescent="0.25">
      <c r="A44" s="89"/>
      <c r="B44" s="7" t="s">
        <v>13</v>
      </c>
      <c r="C44" s="5" t="s">
        <v>37</v>
      </c>
      <c r="D44" s="5" t="s">
        <v>38</v>
      </c>
      <c r="E44" s="16">
        <v>65</v>
      </c>
      <c r="F44" s="6">
        <v>30.86</v>
      </c>
      <c r="G44" s="24">
        <f>182/50*65</f>
        <v>236.6</v>
      </c>
      <c r="H44" s="24">
        <f>6.74/50*65</f>
        <v>8.7620000000000005</v>
      </c>
      <c r="I44" s="24">
        <f>13.91/50*65</f>
        <v>18.082999999999998</v>
      </c>
      <c r="J44" s="25">
        <f>7.09/50*65</f>
        <v>9.2170000000000005</v>
      </c>
    </row>
    <row r="45" spans="1:10" x14ac:dyDescent="0.25">
      <c r="A45" s="89"/>
      <c r="B45" s="7" t="s">
        <v>17</v>
      </c>
      <c r="C45" s="5" t="s">
        <v>39</v>
      </c>
      <c r="D45" s="5" t="s">
        <v>40</v>
      </c>
      <c r="E45" s="16">
        <v>150</v>
      </c>
      <c r="F45" s="6">
        <v>14.54</v>
      </c>
      <c r="G45" s="42">
        <f>162.5*1.5</f>
        <v>243.75</v>
      </c>
      <c r="H45" s="42">
        <f>5.73*1.5</f>
        <v>8.5950000000000006</v>
      </c>
      <c r="I45" s="42">
        <f>4.06*1.5</f>
        <v>6.09</v>
      </c>
      <c r="J45" s="43">
        <f>25.76*1.5</f>
        <v>38.64</v>
      </c>
    </row>
    <row r="46" spans="1:10" ht="15.75" customHeight="1" x14ac:dyDescent="0.25">
      <c r="A46" s="89"/>
      <c r="B46" s="7" t="s">
        <v>66</v>
      </c>
      <c r="C46" s="5" t="s">
        <v>67</v>
      </c>
      <c r="D46" s="67" t="s">
        <v>68</v>
      </c>
      <c r="E46" s="16">
        <v>200</v>
      </c>
      <c r="F46" s="6">
        <v>6.72</v>
      </c>
      <c r="G46" s="24">
        <v>114.6</v>
      </c>
      <c r="H46" s="68">
        <v>0.16</v>
      </c>
      <c r="I46" s="68">
        <v>0.12</v>
      </c>
      <c r="J46" s="69">
        <v>28.08</v>
      </c>
    </row>
    <row r="47" spans="1:10" x14ac:dyDescent="0.25">
      <c r="A47" s="89"/>
      <c r="B47" s="7" t="s">
        <v>44</v>
      </c>
      <c r="C47" s="5" t="s">
        <v>45</v>
      </c>
      <c r="D47" s="5" t="s">
        <v>69</v>
      </c>
      <c r="E47" s="16">
        <v>35</v>
      </c>
      <c r="F47" s="6">
        <v>8.2899999999999991</v>
      </c>
      <c r="G47" s="6">
        <f>350*0.35</f>
        <v>122.49999999999999</v>
      </c>
      <c r="H47" s="6">
        <f>5*0.35</f>
        <v>1.75</v>
      </c>
      <c r="I47" s="6">
        <f>6*0.35</f>
        <v>2.0999999999999996</v>
      </c>
      <c r="J47" s="8">
        <f>69*0.35</f>
        <v>24.15</v>
      </c>
    </row>
    <row r="48" spans="1:10" ht="15.75" thickBot="1" x14ac:dyDescent="0.3">
      <c r="A48" s="89"/>
      <c r="B48" s="9" t="s">
        <v>14</v>
      </c>
      <c r="C48" s="10" t="s">
        <v>28</v>
      </c>
      <c r="D48" s="10" t="s">
        <v>29</v>
      </c>
      <c r="E48" s="17">
        <v>52.5</v>
      </c>
      <c r="F48" s="18">
        <v>2.0299999999999998</v>
      </c>
      <c r="G48" s="18">
        <f>229.7*0.525</f>
        <v>120.5925</v>
      </c>
      <c r="H48" s="11">
        <f>6.7*0.525</f>
        <v>3.5175000000000001</v>
      </c>
      <c r="I48" s="11">
        <f>1.1*0.525</f>
        <v>0.57750000000000012</v>
      </c>
      <c r="J48" s="12">
        <f>48.3*0.525</f>
        <v>25.357499999999998</v>
      </c>
    </row>
    <row r="49" spans="1:10" ht="16.5" thickBot="1" x14ac:dyDescent="0.3">
      <c r="A49" s="86" t="s">
        <v>15</v>
      </c>
      <c r="B49" s="87"/>
      <c r="C49" s="87"/>
      <c r="D49" s="87"/>
      <c r="E49" s="88"/>
      <c r="F49" s="22">
        <f>SUM(F43:F48)</f>
        <v>77</v>
      </c>
      <c r="G49" s="22">
        <f>SUM(G43:G48)</f>
        <v>961.49249999999995</v>
      </c>
      <c r="H49" s="22">
        <f>SUM(H43:H48)</f>
        <v>25.062000000000005</v>
      </c>
      <c r="I49" s="22">
        <f>SUM(I43:I48)</f>
        <v>33.560499999999998</v>
      </c>
      <c r="J49" s="22">
        <f>SUM(J43:J48)</f>
        <v>137.78449999999998</v>
      </c>
    </row>
    <row r="50" spans="1:10" x14ac:dyDescent="0.25">
      <c r="G50" s="70"/>
    </row>
    <row r="51" spans="1:10" ht="15.75" thickBot="1" x14ac:dyDescent="0.3">
      <c r="A51" s="96" t="s">
        <v>24</v>
      </c>
      <c r="B51" s="96"/>
      <c r="C51" s="96"/>
      <c r="D51" s="96"/>
      <c r="E51" s="96"/>
      <c r="F51" s="96"/>
      <c r="G51" s="96"/>
      <c r="H51" s="96"/>
      <c r="I51" s="96"/>
      <c r="J51" s="96"/>
    </row>
    <row r="52" spans="1:10" ht="15.75" x14ac:dyDescent="0.25">
      <c r="A52" s="23"/>
      <c r="B52" s="23"/>
      <c r="C52" s="95" t="s">
        <v>22</v>
      </c>
      <c r="D52" s="95"/>
      <c r="G52" s="97"/>
      <c r="H52" s="97"/>
      <c r="I52" s="97"/>
      <c r="J52" s="97"/>
    </row>
    <row r="53" spans="1:10" x14ac:dyDescent="0.25">
      <c r="A53" s="1"/>
      <c r="B53" s="1"/>
      <c r="C53" s="1"/>
      <c r="D53" s="1"/>
    </row>
    <row r="54" spans="1:10" x14ac:dyDescent="0.25">
      <c r="A54" s="71" t="s">
        <v>23</v>
      </c>
      <c r="B54" s="71"/>
    </row>
    <row r="55" spans="1:10" x14ac:dyDescent="0.25">
      <c r="A55" s="71" t="s">
        <v>25</v>
      </c>
      <c r="B55" s="71"/>
    </row>
    <row r="56" spans="1:10" x14ac:dyDescent="0.25">
      <c r="A56" s="3"/>
    </row>
  </sheetData>
  <mergeCells count="25">
    <mergeCell ref="B1:C1"/>
    <mergeCell ref="G1:J1"/>
    <mergeCell ref="C52:D52"/>
    <mergeCell ref="A51:J51"/>
    <mergeCell ref="G52:J52"/>
    <mergeCell ref="A8:E8"/>
    <mergeCell ref="A9:A13"/>
    <mergeCell ref="A14:E14"/>
    <mergeCell ref="A20:E20"/>
    <mergeCell ref="A54:B54"/>
    <mergeCell ref="A55:B55"/>
    <mergeCell ref="A3:A7"/>
    <mergeCell ref="A21:A22"/>
    <mergeCell ref="A23:E23"/>
    <mergeCell ref="A15:A19"/>
    <mergeCell ref="A24:A27"/>
    <mergeCell ref="A28:E28"/>
    <mergeCell ref="A29:A32"/>
    <mergeCell ref="A33:E33"/>
    <mergeCell ref="A34:A35"/>
    <mergeCell ref="A36:E36"/>
    <mergeCell ref="A37:A41"/>
    <mergeCell ref="A42:E42"/>
    <mergeCell ref="A43:A48"/>
    <mergeCell ref="A49:E4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2022-12-13T13:38:35Z</dcterms:modified>
</cp:coreProperties>
</file>