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I55" i="1"/>
  <c r="H55" i="1"/>
  <c r="G55" i="1"/>
  <c r="J54" i="1"/>
  <c r="I54" i="1"/>
  <c r="H54" i="1"/>
  <c r="G54" i="1"/>
  <c r="J50" i="1"/>
  <c r="I50" i="1"/>
  <c r="H50" i="1"/>
  <c r="G50" i="1"/>
  <c r="J53" i="1"/>
  <c r="I53" i="1"/>
  <c r="H53" i="1"/>
  <c r="G53" i="1"/>
  <c r="J52" i="1"/>
  <c r="I52" i="1"/>
  <c r="H52" i="1"/>
  <c r="G52" i="1"/>
  <c r="J51" i="1"/>
  <c r="I51" i="1"/>
  <c r="H51" i="1"/>
  <c r="G51" i="1"/>
  <c r="J49" i="1"/>
  <c r="I49" i="1"/>
  <c r="H49" i="1"/>
  <c r="G49" i="1"/>
  <c r="J47" i="1"/>
  <c r="I47" i="1"/>
  <c r="H47" i="1"/>
  <c r="G47" i="1"/>
  <c r="J45" i="1"/>
  <c r="I45" i="1"/>
  <c r="H45" i="1"/>
  <c r="G45" i="1"/>
  <c r="J44" i="1"/>
  <c r="I44" i="1"/>
  <c r="H44" i="1"/>
  <c r="G44" i="1"/>
  <c r="J43" i="1"/>
  <c r="I43" i="1"/>
  <c r="H43" i="1"/>
  <c r="G43" i="1"/>
  <c r="J41" i="1"/>
  <c r="I41" i="1"/>
  <c r="H41" i="1"/>
  <c r="G41" i="1"/>
  <c r="J38" i="1"/>
  <c r="I38" i="1"/>
  <c r="H38" i="1"/>
  <c r="G38" i="1"/>
  <c r="J34" i="1"/>
  <c r="I34" i="1"/>
  <c r="H34" i="1"/>
  <c r="G34" i="1"/>
  <c r="J33" i="1"/>
  <c r="I33" i="1"/>
  <c r="H33" i="1"/>
  <c r="G33" i="1"/>
  <c r="J29" i="1" l="1"/>
  <c r="I29" i="1"/>
  <c r="H29" i="1"/>
  <c r="G29" i="1"/>
  <c r="J28" i="1"/>
  <c r="I28" i="1"/>
  <c r="H28" i="1"/>
  <c r="G28" i="1"/>
  <c r="J26" i="1" l="1"/>
  <c r="I26" i="1"/>
  <c r="H26" i="1"/>
  <c r="G26" i="1"/>
  <c r="J21" i="1"/>
  <c r="I21" i="1"/>
  <c r="H21" i="1"/>
  <c r="G21" i="1"/>
  <c r="J22" i="1"/>
  <c r="I22" i="1"/>
  <c r="H22" i="1"/>
  <c r="G22" i="1"/>
  <c r="J19" i="1"/>
  <c r="I19" i="1"/>
  <c r="H19" i="1"/>
  <c r="G19" i="1"/>
  <c r="J18" i="1"/>
  <c r="I18" i="1"/>
  <c r="H18" i="1"/>
  <c r="G18" i="1"/>
  <c r="J16" i="1"/>
  <c r="I16" i="1"/>
  <c r="H16" i="1"/>
  <c r="G16" i="1"/>
  <c r="J14" i="1"/>
  <c r="I14" i="1"/>
  <c r="H14" i="1"/>
  <c r="G14" i="1"/>
  <c r="J12" i="1"/>
  <c r="I12" i="1"/>
  <c r="H12" i="1"/>
  <c r="G12" i="1"/>
  <c r="J11" i="1"/>
  <c r="I11" i="1"/>
  <c r="H11" i="1"/>
  <c r="G11" i="1"/>
  <c r="J20" i="1"/>
  <c r="I20" i="1"/>
  <c r="H20" i="1"/>
  <c r="G20" i="1"/>
  <c r="J10" i="1" l="1"/>
  <c r="I10" i="1"/>
  <c r="H10" i="1"/>
  <c r="G10" i="1"/>
  <c r="J17" i="1"/>
  <c r="I17" i="1"/>
  <c r="H17" i="1"/>
  <c r="G17" i="1"/>
  <c r="J8" i="1" l="1"/>
  <c r="I8" i="1"/>
  <c r="H8" i="1"/>
  <c r="G8" i="1"/>
  <c r="J7" i="1"/>
  <c r="I7" i="1"/>
  <c r="H7" i="1"/>
  <c r="G7" i="1"/>
  <c r="J3" i="1" l="1"/>
  <c r="I3" i="1"/>
  <c r="H3" i="1"/>
  <c r="G3" i="1"/>
  <c r="J4" i="1"/>
  <c r="I4" i="1"/>
  <c r="H4" i="1"/>
  <c r="G4" i="1"/>
  <c r="J36" i="1" l="1"/>
  <c r="I36" i="1"/>
  <c r="H36" i="1"/>
  <c r="G36" i="1"/>
  <c r="J31" i="1"/>
  <c r="I31" i="1"/>
  <c r="H31" i="1"/>
  <c r="G31" i="1"/>
  <c r="J30" i="1"/>
  <c r="I30" i="1"/>
  <c r="H30" i="1"/>
  <c r="G30" i="1"/>
  <c r="J35" i="1"/>
  <c r="H35" i="1"/>
  <c r="F56" i="1"/>
  <c r="J56" i="1"/>
  <c r="H56" i="1"/>
  <c r="G56" i="1"/>
  <c r="F48" i="1"/>
  <c r="J48" i="1"/>
  <c r="I48" i="1"/>
  <c r="H48" i="1"/>
  <c r="G48" i="1"/>
  <c r="J42" i="1"/>
  <c r="F42" i="1"/>
  <c r="I42" i="1"/>
  <c r="H42" i="1"/>
  <c r="G42" i="1"/>
  <c r="F39" i="1"/>
  <c r="J39" i="1"/>
  <c r="I39" i="1"/>
  <c r="G39" i="1"/>
  <c r="F35" i="1"/>
  <c r="I35" i="1"/>
  <c r="G35" i="1"/>
  <c r="F27" i="1"/>
  <c r="J25" i="1"/>
  <c r="J27" i="1" s="1"/>
  <c r="I25" i="1"/>
  <c r="H25" i="1"/>
  <c r="H27" i="1" s="1"/>
  <c r="G25" i="1"/>
  <c r="F9" i="1"/>
  <c r="G27" i="1" l="1"/>
  <c r="I27" i="1"/>
  <c r="H39" i="1"/>
  <c r="I56" i="1"/>
  <c r="J5" i="1"/>
  <c r="I5" i="1"/>
  <c r="I9" i="1" s="1"/>
  <c r="H5" i="1"/>
  <c r="G5" i="1"/>
  <c r="H9" i="1"/>
  <c r="G9" i="1"/>
  <c r="J9" i="1" l="1"/>
  <c r="F23" i="1" l="1"/>
  <c r="J23" i="1" l="1"/>
  <c r="I23" i="1"/>
  <c r="H23" i="1"/>
  <c r="G23" i="1"/>
  <c r="G15" i="1" l="1"/>
  <c r="H15" i="1"/>
  <c r="I15" i="1"/>
  <c r="J15" i="1"/>
  <c r="F15" i="1"/>
</calcChain>
</file>

<file path=xl/sharedStrings.xml><?xml version="1.0" encoding="utf-8"?>
<sst xmlns="http://schemas.openxmlformats.org/spreadsheetml/2006/main" count="179" uniqueCount="79">
  <si>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</si>
  <si>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</si>
  <si>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</si>
  <si>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</si>
  <si>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</si>
  <si>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</si>
  <si>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</si>
  <si>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</si>
  <si>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</si>
  <si>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</si>
  <si>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</si>
  <si>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</si>
  <si>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</si>
  <si>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</si>
  <si>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</si>
  <si>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</si>
  <si>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</si>
  <si>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</si>
  <si>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</si>
  <si>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</si>
  <si>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</si>
  <si>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</si>
  <si>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Фрукт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</si>
  <si>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</si>
  <si>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</si>
  <si>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</si>
  <si>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</si>
  <si>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</si>
  <si>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</si>
  <si>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</si>
  <si>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</si>
  <si>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</si>
  <si>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</si>
  <si>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№210-2015г.</t>
  </si>
  <si>
    <t>ТТК№5</t>
  </si>
  <si>
    <t>Батон "Домашний"</t>
  </si>
  <si>
    <t>200/15</t>
  </si>
  <si>
    <t>№338-2015г.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</si>
  <si>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</si>
  <si>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</si>
  <si>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</si>
  <si>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250/2</t>
  </si>
  <si>
    <t>Салат "Витаминный"</t>
  </si>
  <si>
    <t>Напиток</t>
  </si>
  <si>
    <t>ПР</t>
  </si>
  <si>
    <t>Кондитерское изделие</t>
  </si>
  <si>
    <t>№389-2015г.</t>
  </si>
  <si>
    <t>Сок фруктовый</t>
  </si>
  <si>
    <t>Пряник сливочный</t>
  </si>
  <si>
    <t>№71-2015г.</t>
  </si>
  <si>
    <t>Овощи натуральные свежие (помидоры)</t>
  </si>
  <si>
    <t>№304-2015г.</t>
  </si>
  <si>
    <t>Рис отварной</t>
  </si>
  <si>
    <t>№49-2015г.</t>
  </si>
  <si>
    <t>Печенье "Сахарное"</t>
  </si>
  <si>
    <t>№15-2015г.</t>
  </si>
  <si>
    <t>Сыр "Российский" (порциями)</t>
  </si>
  <si>
    <t>Омлет натуральный</t>
  </si>
  <si>
    <t>№302-2015г.</t>
  </si>
  <si>
    <t>Каша рассыпчатая гречневая</t>
  </si>
  <si>
    <t>Яблоко свежее (порциями)</t>
  </si>
  <si>
    <t>№382-2015г.</t>
  </si>
  <si>
    <t>Какао с молоком</t>
  </si>
  <si>
    <t>Завтрак 5-11 кл с доплатой 70,00 руб. и льготники с доплатой 50,00 руб.; ДМГ 77,00 1 смена</t>
  </si>
  <si>
    <t>Обед 6-7 кл. с доплатой 70,00 руб. и льготники с доплатой 50,00 руб.; ДМГ 77,00 2 смена</t>
  </si>
  <si>
    <t>Молочный коктейль "Авишка" 2,5 %</t>
  </si>
  <si>
    <t>№425-2015г.</t>
  </si>
  <si>
    <t>Булочка дорожная</t>
  </si>
  <si>
    <t>№97-2015г.</t>
  </si>
  <si>
    <t>Суп картофельный с рыбными консервами с зеленью</t>
  </si>
  <si>
    <t>250/10/2</t>
  </si>
  <si>
    <t>Суп картофельный с зеленью</t>
  </si>
  <si>
    <t>№268-2015г.</t>
  </si>
  <si>
    <t>Котлета из свинины</t>
  </si>
  <si>
    <t>Напиток (сладкое блюдо)</t>
  </si>
  <si>
    <t>№342-2015г.</t>
  </si>
  <si>
    <t>Компот из свежих груш</t>
  </si>
  <si>
    <t>№45-2015г.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</si>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</sst>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2" fontId="4" fillId="0" borderId="14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2" fontId="5" fillId="0" borderId="29" xfId="0" applyNumberFormat="1" applyFont="1" applyBorder="1" applyAlignment="1">
      <alignment vertical="center" wrapText="1"/>
    </xf>
    <xf numFmtId="2" fontId="5" fillId="0" borderId="31" xfId="0" applyNumberFormat="1" applyFont="1" applyBorder="1" applyAlignment="1">
      <alignment vertical="center" wrapText="1"/>
    </xf>
    <xf numFmtId="2" fontId="8" fillId="0" borderId="3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2" fontId="4" fillId="0" borderId="0" xfId="0" applyNumberFormat="1" applyFont="1"/>
    <xf numFmtId="0" fontId="4" fillId="0" borderId="0" xfId="0" applyFont="1"/>
    <xf numFmtId="0" fontId="10" fillId="0" borderId="35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right" vertical="top" wrapText="1"/>
    </xf>
    <xf numFmtId="2" fontId="10" fillId="0" borderId="35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right" vertical="top" wrapText="1"/>
    </xf>
    <xf numFmtId="2" fontId="10" fillId="0" borderId="3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2" fontId="10" fillId="0" borderId="14" xfId="0" applyNumberFormat="1" applyFont="1" applyBorder="1" applyAlignment="1">
      <alignment horizontal="right" vertical="top" wrapText="1"/>
    </xf>
    <xf numFmtId="2" fontId="10" fillId="0" borderId="15" xfId="0" applyNumberFormat="1" applyFont="1" applyBorder="1" applyAlignment="1">
      <alignment horizontal="right" vertical="top" wrapText="1"/>
    </xf>
    <xf numFmtId="0" fontId="10" fillId="0" borderId="3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4" fillId="0" borderId="0" xfId="0" applyFont="1"/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2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2" fontId="10" fillId="0" borderId="38" xfId="0" applyNumberFormat="1" applyFont="1" applyBorder="1" applyAlignment="1">
      <alignment horizontal="right" vertical="top" wrapText="1"/>
    </xf>
  </cellXfs>
  <cellStyles count="12">
    <cellStyle name="Обычный" xfId="0" builtinId="0"/>
    <cellStyle name="Обычный 2" xfId="1"/>
    <cellStyle name="Обычный 2 2" xfId="2"/>
    <cellStyle name="Обычный 2 2 2" xfId="4"/>
    <cellStyle name="Обычный 2 3" xfId="3"/>
    <cellStyle name="Обычный 2 4" xfId="5"/>
    <cellStyle name="Обычный 2 4 2" xfId="6"/>
    <cellStyle name="Обычный 2 4 3" xfId="7"/>
    <cellStyle name="Обычный 2 5" xfId="8"/>
    <cellStyle name="Обычный 2 6" xfId="9"/>
    <cellStyle name="Обычный 2 6 2" xfId="10"/>
    <cellStyle name="Обычный 2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J55" sqref="J55"/>
    </sheetView>
  </sheetViews>
  <sheetFormatPr defaultRowHeight="15" x14ac:dyDescent="0.25"/>
  <cols>
    <col min="1" max="1" width="19.5703125" style="40" customWidth="1"/>
    <col min="2" max="2" width="22" style="40" customWidth="1"/>
    <col min="3" max="3" width="12.28515625" style="40" customWidth="1"/>
    <col min="4" max="4" width="48" style="40" customWidth="1"/>
    <col min="5" max="5" width="10.140625" style="40" bestFit="1" customWidth="1"/>
    <col min="6" max="6" width="8.140625" style="40" customWidth="1"/>
    <col min="7" max="7" width="14" style="40" customWidth="1"/>
    <col min="8" max="9" width="8.85546875" style="40" customWidth="1"/>
    <col min="10" max="10" width="10.85546875" style="40" customWidth="1"/>
    <col min="11" max="16384" width="9.140625" style="40"/>
  </cols>
  <sheetData>
    <row r="1" spans="1:12" ht="15.75" thickBot="1" x14ac:dyDescent="0.3">
      <c r="A1" s="25" t="s">
        <v>0</v>
      </c>
      <c r="B1" s="84" t="s">
        <v>23</v>
      </c>
      <c r="C1" s="85"/>
      <c r="D1" s="1" t="s">
        <v>1</v>
      </c>
      <c r="E1" s="28"/>
      <c r="F1" s="1" t="s">
        <v>2</v>
      </c>
      <c r="G1" s="86">
        <v>44914</v>
      </c>
      <c r="H1" s="87"/>
      <c r="I1" s="87"/>
      <c r="J1" s="88"/>
      <c r="K1" s="1"/>
      <c r="L1" s="1"/>
    </row>
    <row r="2" spans="1:12" ht="15.75" thickBot="1" x14ac:dyDescent="0.3">
      <c r="A2" s="26" t="s">
        <v>3</v>
      </c>
      <c r="B2" s="2" t="s">
        <v>4</v>
      </c>
      <c r="C2" s="27" t="s">
        <v>5</v>
      </c>
      <c r="D2" s="33" t="s">
        <v>6</v>
      </c>
      <c r="E2" s="33" t="s">
        <v>7</v>
      </c>
      <c r="F2" s="33" t="s">
        <v>8</v>
      </c>
      <c r="G2" s="2" t="s">
        <v>9</v>
      </c>
      <c r="H2" s="2" t="s">
        <v>10</v>
      </c>
      <c r="I2" s="2" t="s">
        <v>11</v>
      </c>
      <c r="J2" s="24" t="s">
        <v>12</v>
      </c>
    </row>
    <row r="3" spans="1:12" x14ac:dyDescent="0.25">
      <c r="A3" s="76" t="s">
        <v>28</v>
      </c>
      <c r="B3" s="20" t="s">
        <v>32</v>
      </c>
      <c r="C3" s="21" t="s">
        <v>53</v>
      </c>
      <c r="D3" s="21" t="s">
        <v>42</v>
      </c>
      <c r="E3" s="13">
        <v>50</v>
      </c>
      <c r="F3" s="47">
        <v>17.489999999999998</v>
      </c>
      <c r="G3" s="47">
        <f>957*0.05</f>
        <v>47.85</v>
      </c>
      <c r="H3" s="47">
        <f>15.71*0.05</f>
        <v>0.78550000000000009</v>
      </c>
      <c r="I3" s="47">
        <f>60.22*0.05</f>
        <v>3.0110000000000001</v>
      </c>
      <c r="J3" s="48">
        <f>87.92*0.05</f>
        <v>4.3959999999999999</v>
      </c>
    </row>
    <row r="4" spans="1:12" x14ac:dyDescent="0.25">
      <c r="A4" s="77"/>
      <c r="B4" s="5" t="s">
        <v>13</v>
      </c>
      <c r="C4" s="3" t="s">
        <v>33</v>
      </c>
      <c r="D4" s="3" t="s">
        <v>57</v>
      </c>
      <c r="E4" s="16">
        <v>105</v>
      </c>
      <c r="F4" s="34">
        <v>22.94</v>
      </c>
      <c r="G4" s="34">
        <f>79*2+66*0</f>
        <v>158</v>
      </c>
      <c r="H4" s="34">
        <f>5.32*2+0.08*0</f>
        <v>10.64</v>
      </c>
      <c r="I4" s="34">
        <f>5.97*2+7.25*0</f>
        <v>11.94</v>
      </c>
      <c r="J4" s="35">
        <f>0.95*2+0.13*0</f>
        <v>1.9</v>
      </c>
    </row>
    <row r="5" spans="1:12" x14ac:dyDescent="0.25">
      <c r="A5" s="77"/>
      <c r="B5" s="5" t="s">
        <v>17</v>
      </c>
      <c r="C5" s="3" t="s">
        <v>51</v>
      </c>
      <c r="D5" s="3" t="s">
        <v>52</v>
      </c>
      <c r="E5" s="16">
        <v>100</v>
      </c>
      <c r="F5" s="34">
        <v>9.9499999999999993</v>
      </c>
      <c r="G5" s="34">
        <f>1398*0.1</f>
        <v>139.80000000000001</v>
      </c>
      <c r="H5" s="34">
        <f>24.34*0.1</f>
        <v>2.4340000000000002</v>
      </c>
      <c r="I5" s="34">
        <f>35.83*0.1</f>
        <v>3.5830000000000002</v>
      </c>
      <c r="J5" s="35">
        <f>244.56*0.1</f>
        <v>24.456000000000003</v>
      </c>
    </row>
    <row r="6" spans="1:12" x14ac:dyDescent="0.25">
      <c r="A6" s="77"/>
      <c r="B6" s="5" t="s">
        <v>43</v>
      </c>
      <c r="C6" s="3" t="s">
        <v>44</v>
      </c>
      <c r="D6" s="3" t="s">
        <v>65</v>
      </c>
      <c r="E6" s="16">
        <v>200</v>
      </c>
      <c r="F6" s="4">
        <v>41.02</v>
      </c>
      <c r="G6" s="4">
        <v>160</v>
      </c>
      <c r="H6" s="4">
        <v>6.2</v>
      </c>
      <c r="I6" s="4">
        <v>5</v>
      </c>
      <c r="J6" s="6">
        <v>22</v>
      </c>
    </row>
    <row r="7" spans="1:12" x14ac:dyDescent="0.25">
      <c r="A7" s="77"/>
      <c r="B7" s="5" t="s">
        <v>21</v>
      </c>
      <c r="C7" s="3" t="s">
        <v>66</v>
      </c>
      <c r="D7" s="3" t="s">
        <v>67</v>
      </c>
      <c r="E7" s="16">
        <v>50</v>
      </c>
      <c r="F7" s="4">
        <v>3.56</v>
      </c>
      <c r="G7" s="4">
        <f>160.5/5*5</f>
        <v>160.5</v>
      </c>
      <c r="H7" s="4">
        <f>3.39/5*5</f>
        <v>3.39</v>
      </c>
      <c r="I7" s="4">
        <f>6.98/5*5</f>
        <v>6.98</v>
      </c>
      <c r="J7" s="6">
        <f>21.07/5*5</f>
        <v>21.07</v>
      </c>
    </row>
    <row r="8" spans="1:12" ht="15.75" thickBot="1" x14ac:dyDescent="0.3">
      <c r="A8" s="78"/>
      <c r="B8" s="7" t="s">
        <v>14</v>
      </c>
      <c r="C8" s="8" t="s">
        <v>34</v>
      </c>
      <c r="D8" s="8" t="s">
        <v>35</v>
      </c>
      <c r="E8" s="17">
        <v>56.7</v>
      </c>
      <c r="F8" s="38">
        <v>2.19</v>
      </c>
      <c r="G8" s="38">
        <f>229.7*0.567</f>
        <v>130.23989999999998</v>
      </c>
      <c r="H8" s="49">
        <f>6.7*0.567</f>
        <v>3.7988999999999997</v>
      </c>
      <c r="I8" s="49">
        <f>1.1*0.567</f>
        <v>0.62370000000000003</v>
      </c>
      <c r="J8" s="50">
        <f>48.3*0.567</f>
        <v>27.386099999999995</v>
      </c>
    </row>
    <row r="9" spans="1:12" ht="16.5" thickBot="1" x14ac:dyDescent="0.3">
      <c r="A9" s="79" t="s">
        <v>15</v>
      </c>
      <c r="B9" s="72"/>
      <c r="C9" s="72"/>
      <c r="D9" s="72"/>
      <c r="E9" s="73"/>
      <c r="F9" s="19">
        <f>SUM(F3:F8)</f>
        <v>97.15</v>
      </c>
      <c r="G9" s="19">
        <f>SUM(G3:G8)</f>
        <v>796.3898999999999</v>
      </c>
      <c r="H9" s="19">
        <f>SUM(H3:H8)</f>
        <v>27.2484</v>
      </c>
      <c r="I9" s="19">
        <f>SUM(I3:I8)</f>
        <v>31.137699999999999</v>
      </c>
      <c r="J9" s="19">
        <f>SUM(J3:J8)</f>
        <v>101.2081</v>
      </c>
    </row>
    <row r="10" spans="1:12" x14ac:dyDescent="0.25">
      <c r="A10" s="63" t="s">
        <v>29</v>
      </c>
      <c r="B10" s="20" t="s">
        <v>16</v>
      </c>
      <c r="C10" s="21" t="s">
        <v>68</v>
      </c>
      <c r="D10" s="21" t="s">
        <v>71</v>
      </c>
      <c r="E10" s="13" t="s">
        <v>41</v>
      </c>
      <c r="F10" s="14">
        <v>8.58</v>
      </c>
      <c r="G10" s="14">
        <f>456*0.25+200*0</f>
        <v>114</v>
      </c>
      <c r="H10" s="14">
        <f>9.37*0.25+17.7*0</f>
        <v>2.3424999999999998</v>
      </c>
      <c r="I10" s="14">
        <f>11.31*0.25+14.4*0</f>
        <v>2.8275000000000001</v>
      </c>
      <c r="J10" s="15">
        <f>67.48*0.25+0</f>
        <v>16.87</v>
      </c>
    </row>
    <row r="11" spans="1:12" x14ac:dyDescent="0.25">
      <c r="A11" s="64"/>
      <c r="B11" s="5" t="s">
        <v>13</v>
      </c>
      <c r="C11" s="3" t="s">
        <v>72</v>
      </c>
      <c r="D11" s="3" t="s">
        <v>73</v>
      </c>
      <c r="E11" s="16">
        <v>40</v>
      </c>
      <c r="F11" s="4">
        <v>18.989999999999998</v>
      </c>
      <c r="G11" s="31">
        <f>273/75*40</f>
        <v>145.6</v>
      </c>
      <c r="H11" s="31">
        <f>10.11/75*40</f>
        <v>5.3920000000000003</v>
      </c>
      <c r="I11" s="31">
        <f>20.87/75*40</f>
        <v>11.130666666666666</v>
      </c>
      <c r="J11" s="32">
        <f>10.64/75*40</f>
        <v>5.674666666666667</v>
      </c>
    </row>
    <row r="12" spans="1:12" x14ac:dyDescent="0.25">
      <c r="A12" s="64"/>
      <c r="B12" s="59" t="s">
        <v>17</v>
      </c>
      <c r="C12" s="41" t="s">
        <v>58</v>
      </c>
      <c r="D12" s="41" t="s">
        <v>59</v>
      </c>
      <c r="E12" s="42">
        <v>120</v>
      </c>
      <c r="F12" s="43">
        <v>11.63</v>
      </c>
      <c r="G12" s="43">
        <f>162.5*1.2</f>
        <v>195</v>
      </c>
      <c r="H12" s="43">
        <f>6*1.2</f>
        <v>7.1999999999999993</v>
      </c>
      <c r="I12" s="43">
        <f>4*1.2</f>
        <v>4.8</v>
      </c>
      <c r="J12" s="93">
        <f>26*1.2</f>
        <v>31.2</v>
      </c>
    </row>
    <row r="13" spans="1:12" x14ac:dyDescent="0.25">
      <c r="A13" s="64"/>
      <c r="B13" s="5" t="s">
        <v>18</v>
      </c>
      <c r="C13" s="3" t="s">
        <v>19</v>
      </c>
      <c r="D13" s="3" t="s">
        <v>20</v>
      </c>
      <c r="E13" s="16" t="s">
        <v>36</v>
      </c>
      <c r="F13" s="4">
        <v>2.21</v>
      </c>
      <c r="G13" s="4">
        <v>60</v>
      </c>
      <c r="H13" s="4">
        <v>7.0000000000000007E-2</v>
      </c>
      <c r="I13" s="4">
        <v>0.02</v>
      </c>
      <c r="J13" s="6">
        <v>15</v>
      </c>
    </row>
    <row r="14" spans="1:12" ht="15.75" thickBot="1" x14ac:dyDescent="0.3">
      <c r="A14" s="64"/>
      <c r="B14" s="7" t="s">
        <v>14</v>
      </c>
      <c r="C14" s="8" t="s">
        <v>34</v>
      </c>
      <c r="D14" s="8" t="s">
        <v>35</v>
      </c>
      <c r="E14" s="17">
        <v>23</v>
      </c>
      <c r="F14" s="18">
        <v>0.88</v>
      </c>
      <c r="G14" s="18">
        <f>229.7*0.23</f>
        <v>52.831000000000003</v>
      </c>
      <c r="H14" s="9">
        <f>6.7*0.23</f>
        <v>1.5410000000000001</v>
      </c>
      <c r="I14" s="9">
        <f>1.1*0.23</f>
        <v>0.25300000000000006</v>
      </c>
      <c r="J14" s="10">
        <f>48.3*0.23</f>
        <v>11.109</v>
      </c>
    </row>
    <row r="15" spans="1:12" ht="16.5" thickBot="1" x14ac:dyDescent="0.3">
      <c r="A15" s="65" t="s">
        <v>15</v>
      </c>
      <c r="B15" s="66"/>
      <c r="C15" s="66"/>
      <c r="D15" s="66"/>
      <c r="E15" s="67"/>
      <c r="F15" s="29">
        <f>SUM(F10:F14)</f>
        <v>42.290000000000006</v>
      </c>
      <c r="G15" s="29">
        <f t="shared" ref="G15:J15" si="0">SUM(G10:G14)</f>
        <v>567.43100000000004</v>
      </c>
      <c r="H15" s="29">
        <f t="shared" si="0"/>
        <v>16.545500000000001</v>
      </c>
      <c r="I15" s="29">
        <f t="shared" si="0"/>
        <v>19.031166666666667</v>
      </c>
      <c r="J15" s="29">
        <f t="shared" si="0"/>
        <v>79.853666666666655</v>
      </c>
    </row>
    <row r="16" spans="1:12" ht="15.75" x14ac:dyDescent="0.25">
      <c r="A16" s="90" t="s">
        <v>30</v>
      </c>
      <c r="B16" s="37" t="s">
        <v>32</v>
      </c>
      <c r="C16" s="12" t="s">
        <v>49</v>
      </c>
      <c r="D16" s="12" t="s">
        <v>50</v>
      </c>
      <c r="E16" s="13">
        <v>35</v>
      </c>
      <c r="F16" s="14">
        <v>5.27</v>
      </c>
      <c r="G16" s="14">
        <f>11/50*35</f>
        <v>7.7</v>
      </c>
      <c r="H16" s="14">
        <f>0.55/50*35</f>
        <v>0.38500000000000006</v>
      </c>
      <c r="I16" s="14">
        <f>0.1/50*35</f>
        <v>7.0000000000000007E-2</v>
      </c>
      <c r="J16" s="15">
        <f>1.9/50*35</f>
        <v>1.33</v>
      </c>
    </row>
    <row r="17" spans="1:10" ht="30" x14ac:dyDescent="0.25">
      <c r="A17" s="91"/>
      <c r="B17" s="5" t="s">
        <v>16</v>
      </c>
      <c r="C17" s="3" t="s">
        <v>68</v>
      </c>
      <c r="D17" s="3" t="s">
        <v>69</v>
      </c>
      <c r="E17" s="16" t="s">
        <v>70</v>
      </c>
      <c r="F17" s="4">
        <v>25.41</v>
      </c>
      <c r="G17" s="4">
        <f>456*0.25+200*0.1</f>
        <v>134</v>
      </c>
      <c r="H17" s="4">
        <f>9.37*0.25+17.7*0.1</f>
        <v>4.1124999999999998</v>
      </c>
      <c r="I17" s="4">
        <f>11.31*0.25+14.4*0.1</f>
        <v>4.2675000000000001</v>
      </c>
      <c r="J17" s="6">
        <f>67.48*0.25+0</f>
        <v>16.87</v>
      </c>
    </row>
    <row r="18" spans="1:10" x14ac:dyDescent="0.25">
      <c r="A18" s="91"/>
      <c r="B18" s="5" t="s">
        <v>13</v>
      </c>
      <c r="C18" s="3" t="s">
        <v>72</v>
      </c>
      <c r="D18" s="3" t="s">
        <v>73</v>
      </c>
      <c r="E18" s="16">
        <v>75</v>
      </c>
      <c r="F18" s="4">
        <v>35.61</v>
      </c>
      <c r="G18" s="31">
        <f>273/75*75</f>
        <v>273</v>
      </c>
      <c r="H18" s="31">
        <f>10.11/75*75</f>
        <v>10.11</v>
      </c>
      <c r="I18" s="31">
        <f>20.87/75*75</f>
        <v>20.87</v>
      </c>
      <c r="J18" s="32">
        <f>10.64/75*75</f>
        <v>10.64</v>
      </c>
    </row>
    <row r="19" spans="1:10" x14ac:dyDescent="0.25">
      <c r="A19" s="91"/>
      <c r="B19" s="54" t="s">
        <v>17</v>
      </c>
      <c r="C19" s="51" t="s">
        <v>58</v>
      </c>
      <c r="D19" s="51" t="s">
        <v>59</v>
      </c>
      <c r="E19" s="52">
        <v>120</v>
      </c>
      <c r="F19" s="53">
        <v>11.63</v>
      </c>
      <c r="G19" s="53">
        <f>162.5*1.2</f>
        <v>195</v>
      </c>
      <c r="H19" s="53">
        <f>6*1.2</f>
        <v>7.1999999999999993</v>
      </c>
      <c r="I19" s="53">
        <f>4*1.2</f>
        <v>4.8</v>
      </c>
      <c r="J19" s="55">
        <f>26*1.2</f>
        <v>31.2</v>
      </c>
    </row>
    <row r="20" spans="1:10" x14ac:dyDescent="0.25">
      <c r="A20" s="91"/>
      <c r="B20" s="5" t="s">
        <v>74</v>
      </c>
      <c r="C20" s="3" t="s">
        <v>75</v>
      </c>
      <c r="D20" s="3" t="s">
        <v>76</v>
      </c>
      <c r="E20" s="16">
        <v>200</v>
      </c>
      <c r="F20" s="4">
        <v>10.83</v>
      </c>
      <c r="G20" s="4">
        <f>573*0.2</f>
        <v>114.60000000000001</v>
      </c>
      <c r="H20" s="4">
        <f>0.8*0.2</f>
        <v>0.16000000000000003</v>
      </c>
      <c r="I20" s="4">
        <f>0.6*0.2</f>
        <v>0.12</v>
      </c>
      <c r="J20" s="6">
        <f>140.4*0.2</f>
        <v>28.080000000000002</v>
      </c>
    </row>
    <row r="21" spans="1:10" x14ac:dyDescent="0.25">
      <c r="A21" s="91"/>
      <c r="B21" s="5" t="s">
        <v>45</v>
      </c>
      <c r="C21" s="3" t="s">
        <v>44</v>
      </c>
      <c r="D21" s="3" t="s">
        <v>54</v>
      </c>
      <c r="E21" s="16">
        <v>30</v>
      </c>
      <c r="F21" s="4">
        <v>6.68</v>
      </c>
      <c r="G21" s="4">
        <f>450*0.3</f>
        <v>135</v>
      </c>
      <c r="H21" s="4">
        <f>8*0.3</f>
        <v>2.4</v>
      </c>
      <c r="I21" s="4">
        <f>15*0.3</f>
        <v>4.5</v>
      </c>
      <c r="J21" s="6">
        <f>70.8*0.3</f>
        <v>21.24</v>
      </c>
    </row>
    <row r="22" spans="1:10" ht="15.75" thickBot="1" x14ac:dyDescent="0.3">
      <c r="A22" s="92"/>
      <c r="B22" s="7" t="s">
        <v>14</v>
      </c>
      <c r="C22" s="8" t="s">
        <v>34</v>
      </c>
      <c r="D22" s="8" t="s">
        <v>35</v>
      </c>
      <c r="E22" s="17">
        <v>44.5</v>
      </c>
      <c r="F22" s="18">
        <v>1.72</v>
      </c>
      <c r="G22" s="18">
        <f>229.7*0.445</f>
        <v>102.2165</v>
      </c>
      <c r="H22" s="9">
        <f>6.7*0.445</f>
        <v>2.9815</v>
      </c>
      <c r="I22" s="9">
        <f>1.1*0.445</f>
        <v>0.48950000000000005</v>
      </c>
      <c r="J22" s="10">
        <f>48.3*0.445</f>
        <v>21.493499999999997</v>
      </c>
    </row>
    <row r="23" spans="1:10" ht="16.5" thickBot="1" x14ac:dyDescent="0.3">
      <c r="A23" s="89" t="s">
        <v>15</v>
      </c>
      <c r="B23" s="72"/>
      <c r="C23" s="72"/>
      <c r="D23" s="72"/>
      <c r="E23" s="73"/>
      <c r="F23" s="19">
        <f>SUM(F16:F22)</f>
        <v>97.149999999999977</v>
      </c>
      <c r="G23" s="19">
        <f t="shared" ref="G23:J23" si="1">SUM(G16:G22)</f>
        <v>961.51650000000006</v>
      </c>
      <c r="H23" s="19">
        <f t="shared" si="1"/>
        <v>27.348999999999997</v>
      </c>
      <c r="I23" s="19">
        <f t="shared" si="1"/>
        <v>35.117000000000004</v>
      </c>
      <c r="J23" s="19">
        <f t="shared" si="1"/>
        <v>130.8535</v>
      </c>
    </row>
    <row r="24" spans="1:10" ht="15" customHeight="1" x14ac:dyDescent="0.25">
      <c r="A24" s="80" t="s">
        <v>31</v>
      </c>
      <c r="B24" s="20" t="s">
        <v>43</v>
      </c>
      <c r="C24" s="21" t="s">
        <v>46</v>
      </c>
      <c r="D24" s="21" t="s">
        <v>47</v>
      </c>
      <c r="E24" s="13">
        <v>200</v>
      </c>
      <c r="F24" s="14">
        <v>21.71</v>
      </c>
      <c r="G24" s="14">
        <v>104</v>
      </c>
      <c r="H24" s="14">
        <v>0.6</v>
      </c>
      <c r="I24" s="14">
        <v>0.2</v>
      </c>
      <c r="J24" s="15">
        <v>23.6</v>
      </c>
    </row>
    <row r="25" spans="1:10" x14ac:dyDescent="0.25">
      <c r="A25" s="81"/>
      <c r="B25" s="5" t="s">
        <v>45</v>
      </c>
      <c r="C25" s="3" t="s">
        <v>44</v>
      </c>
      <c r="D25" s="3" t="s">
        <v>48</v>
      </c>
      <c r="E25" s="36">
        <v>35</v>
      </c>
      <c r="F25" s="4">
        <v>8.2899999999999991</v>
      </c>
      <c r="G25" s="4">
        <f>350*0.35</f>
        <v>122.49999999999999</v>
      </c>
      <c r="H25" s="4">
        <f>5*0.35</f>
        <v>1.75</v>
      </c>
      <c r="I25" s="4">
        <f>6*0.35</f>
        <v>2.0999999999999996</v>
      </c>
      <c r="J25" s="6">
        <f>69*0.35</f>
        <v>24.15</v>
      </c>
    </row>
    <row r="26" spans="1:10" s="46" customFormat="1" ht="15" customHeight="1" thickBot="1" x14ac:dyDescent="0.3">
      <c r="A26" s="82"/>
      <c r="B26" s="44" t="s">
        <v>22</v>
      </c>
      <c r="C26" s="45" t="s">
        <v>37</v>
      </c>
      <c r="D26" s="45" t="s">
        <v>60</v>
      </c>
      <c r="E26" s="56">
        <v>126</v>
      </c>
      <c r="F26" s="57">
        <v>12.29</v>
      </c>
      <c r="G26" s="57">
        <f>47*1.26</f>
        <v>59.22</v>
      </c>
      <c r="H26" s="57">
        <f>0.4*1.26</f>
        <v>0.504</v>
      </c>
      <c r="I26" s="57">
        <f>0.4*1.26</f>
        <v>0.504</v>
      </c>
      <c r="J26" s="58">
        <f>9.8*1.26</f>
        <v>12.348000000000001</v>
      </c>
    </row>
    <row r="27" spans="1:10" ht="16.5" thickBot="1" x14ac:dyDescent="0.3">
      <c r="A27" s="79" t="s">
        <v>15</v>
      </c>
      <c r="B27" s="72"/>
      <c r="C27" s="72"/>
      <c r="D27" s="72"/>
      <c r="E27" s="73"/>
      <c r="F27" s="19">
        <f>SUM(F24:F26)</f>
        <v>42.29</v>
      </c>
      <c r="G27" s="19">
        <f t="shared" ref="G27:J27" si="2">SUM(G24:G26)</f>
        <v>285.72000000000003</v>
      </c>
      <c r="H27" s="19">
        <f t="shared" si="2"/>
        <v>2.8540000000000001</v>
      </c>
      <c r="I27" s="19">
        <f t="shared" si="2"/>
        <v>2.8039999999999998</v>
      </c>
      <c r="J27" s="19">
        <f t="shared" si="2"/>
        <v>60.097999999999999</v>
      </c>
    </row>
    <row r="28" spans="1:10" x14ac:dyDescent="0.25">
      <c r="A28" s="75" t="s">
        <v>63</v>
      </c>
      <c r="B28" s="11" t="s">
        <v>32</v>
      </c>
      <c r="C28" s="12" t="s">
        <v>55</v>
      </c>
      <c r="D28" s="12" t="s">
        <v>56</v>
      </c>
      <c r="E28" s="13">
        <v>17</v>
      </c>
      <c r="F28" s="47">
        <v>17.32</v>
      </c>
      <c r="G28" s="47">
        <f>3.64*17</f>
        <v>61.88</v>
      </c>
      <c r="H28" s="47">
        <f>23.2*0.17</f>
        <v>3.944</v>
      </c>
      <c r="I28" s="47">
        <f>29.5*0.17</f>
        <v>5.0150000000000006</v>
      </c>
      <c r="J28" s="48">
        <f>0</f>
        <v>0</v>
      </c>
    </row>
    <row r="29" spans="1:10" x14ac:dyDescent="0.25">
      <c r="A29" s="75"/>
      <c r="B29" s="5" t="s">
        <v>32</v>
      </c>
      <c r="C29" s="3" t="s">
        <v>77</v>
      </c>
      <c r="D29" s="3" t="s">
        <v>78</v>
      </c>
      <c r="E29" s="16">
        <v>75</v>
      </c>
      <c r="F29" s="4">
        <v>4.34</v>
      </c>
      <c r="G29" s="4">
        <f>604*0.075</f>
        <v>45.3</v>
      </c>
      <c r="H29" s="4">
        <f>13.12*0.075</f>
        <v>0.98399999999999987</v>
      </c>
      <c r="I29" s="4">
        <f>32.49*0.075</f>
        <v>2.43675</v>
      </c>
      <c r="J29" s="6">
        <f>64.66*0.075</f>
        <v>4.8494999999999999</v>
      </c>
    </row>
    <row r="30" spans="1:10" ht="15.75" customHeight="1" x14ac:dyDescent="0.25">
      <c r="A30" s="75"/>
      <c r="B30" s="5" t="s">
        <v>13</v>
      </c>
      <c r="C30" s="3" t="s">
        <v>33</v>
      </c>
      <c r="D30" s="3" t="s">
        <v>57</v>
      </c>
      <c r="E30" s="16">
        <v>105</v>
      </c>
      <c r="F30" s="34">
        <v>22.94</v>
      </c>
      <c r="G30" s="34">
        <f>79*2+66*0</f>
        <v>158</v>
      </c>
      <c r="H30" s="34">
        <f>5.32*2+0.08*0</f>
        <v>10.64</v>
      </c>
      <c r="I30" s="34">
        <f>5.97*2+7.25*0</f>
        <v>11.94</v>
      </c>
      <c r="J30" s="35">
        <f>0.95*2+0.13*0</f>
        <v>1.9</v>
      </c>
    </row>
    <row r="31" spans="1:10" x14ac:dyDescent="0.25">
      <c r="A31" s="75"/>
      <c r="B31" s="5" t="s">
        <v>17</v>
      </c>
      <c r="C31" s="3" t="s">
        <v>51</v>
      </c>
      <c r="D31" s="3" t="s">
        <v>52</v>
      </c>
      <c r="E31" s="16">
        <v>100</v>
      </c>
      <c r="F31" s="34">
        <v>9.9499999999999993</v>
      </c>
      <c r="G31" s="34">
        <f>1398*0.1</f>
        <v>139.80000000000001</v>
      </c>
      <c r="H31" s="34">
        <f>24.34*0.1</f>
        <v>2.4340000000000002</v>
      </c>
      <c r="I31" s="34">
        <f>35.83*0.1</f>
        <v>3.5830000000000002</v>
      </c>
      <c r="J31" s="35">
        <f>244.56*0.1</f>
        <v>24.456000000000003</v>
      </c>
    </row>
    <row r="32" spans="1:10" x14ac:dyDescent="0.25">
      <c r="A32" s="75"/>
      <c r="B32" s="5" t="s">
        <v>18</v>
      </c>
      <c r="C32" s="3" t="s">
        <v>61</v>
      </c>
      <c r="D32" s="3" t="s">
        <v>62</v>
      </c>
      <c r="E32" s="16">
        <v>200</v>
      </c>
      <c r="F32" s="4">
        <v>18.079999999999998</v>
      </c>
      <c r="G32" s="4">
        <v>136</v>
      </c>
      <c r="H32" s="4">
        <v>3.64</v>
      </c>
      <c r="I32" s="4">
        <v>3.35</v>
      </c>
      <c r="J32" s="6">
        <v>22.82</v>
      </c>
    </row>
    <row r="33" spans="1:10" ht="15" customHeight="1" x14ac:dyDescent="0.25">
      <c r="A33" s="75"/>
      <c r="B33" s="5" t="s">
        <v>21</v>
      </c>
      <c r="C33" s="3" t="s">
        <v>66</v>
      </c>
      <c r="D33" s="3" t="s">
        <v>67</v>
      </c>
      <c r="E33" s="16">
        <v>50</v>
      </c>
      <c r="F33" s="4">
        <v>3.56</v>
      </c>
      <c r="G33" s="4">
        <f>160.5/5*5</f>
        <v>160.5</v>
      </c>
      <c r="H33" s="4">
        <f>3.39/5*5</f>
        <v>3.39</v>
      </c>
      <c r="I33" s="4">
        <f>6.98/5*5</f>
        <v>6.98</v>
      </c>
      <c r="J33" s="6">
        <f>21.07/5*5</f>
        <v>21.07</v>
      </c>
    </row>
    <row r="34" spans="1:10" ht="15" customHeight="1" thickBot="1" x14ac:dyDescent="0.3">
      <c r="A34" s="83"/>
      <c r="B34" s="7" t="s">
        <v>14</v>
      </c>
      <c r="C34" s="8" t="s">
        <v>34</v>
      </c>
      <c r="D34" s="8" t="s">
        <v>35</v>
      </c>
      <c r="E34" s="17">
        <v>21</v>
      </c>
      <c r="F34" s="38">
        <v>0.81</v>
      </c>
      <c r="G34" s="38">
        <f>229.7*0.21</f>
        <v>48.236999999999995</v>
      </c>
      <c r="H34" s="49">
        <f>6.7*0.21</f>
        <v>1.407</v>
      </c>
      <c r="I34" s="49">
        <f>1.1*0.21</f>
        <v>0.23100000000000001</v>
      </c>
      <c r="J34" s="50">
        <f>48.3*0.21</f>
        <v>10.142999999999999</v>
      </c>
    </row>
    <row r="35" spans="1:10" ht="16.5" thickBot="1" x14ac:dyDescent="0.3">
      <c r="A35" s="71" t="s">
        <v>15</v>
      </c>
      <c r="B35" s="72"/>
      <c r="C35" s="72"/>
      <c r="D35" s="72"/>
      <c r="E35" s="73"/>
      <c r="F35" s="19">
        <f>SUM(F28:F34)</f>
        <v>77</v>
      </c>
      <c r="G35" s="19">
        <f>SUM(G28:G34)</f>
        <v>749.71699999999998</v>
      </c>
      <c r="H35" s="19">
        <f>SUM(H28:H34)</f>
        <v>26.439000000000004</v>
      </c>
      <c r="I35" s="19">
        <f>SUM(I28:I34)</f>
        <v>33.53575</v>
      </c>
      <c r="J35" s="19">
        <f>SUM(J28:J34)</f>
        <v>85.238500000000002</v>
      </c>
    </row>
    <row r="36" spans="1:10" ht="15.75" thickTop="1" x14ac:dyDescent="0.25">
      <c r="A36" s="74" t="s">
        <v>38</v>
      </c>
      <c r="B36" s="20" t="s">
        <v>13</v>
      </c>
      <c r="C36" s="21" t="s">
        <v>33</v>
      </c>
      <c r="D36" s="21" t="s">
        <v>57</v>
      </c>
      <c r="E36" s="13">
        <v>105</v>
      </c>
      <c r="F36" s="47">
        <v>22.94</v>
      </c>
      <c r="G36" s="47">
        <f>79*2+66*0</f>
        <v>158</v>
      </c>
      <c r="H36" s="47">
        <f>5.32*2+0.08*0</f>
        <v>10.64</v>
      </c>
      <c r="I36" s="47">
        <f>5.97*2+7.25*0</f>
        <v>11.94</v>
      </c>
      <c r="J36" s="48">
        <f>0.95*2+0.13*0</f>
        <v>1.9</v>
      </c>
    </row>
    <row r="37" spans="1:10" x14ac:dyDescent="0.25">
      <c r="A37" s="75"/>
      <c r="B37" s="5" t="s">
        <v>18</v>
      </c>
      <c r="C37" s="3" t="s">
        <v>19</v>
      </c>
      <c r="D37" s="3" t="s">
        <v>20</v>
      </c>
      <c r="E37" s="16" t="s">
        <v>36</v>
      </c>
      <c r="F37" s="4">
        <v>2.97</v>
      </c>
      <c r="G37" s="4">
        <v>60</v>
      </c>
      <c r="H37" s="4">
        <v>7.0000000000000007E-2</v>
      </c>
      <c r="I37" s="4">
        <v>0.02</v>
      </c>
      <c r="J37" s="6">
        <v>15</v>
      </c>
    </row>
    <row r="38" spans="1:10" ht="15.75" thickBot="1" x14ac:dyDescent="0.3">
      <c r="A38" s="75"/>
      <c r="B38" s="7" t="s">
        <v>14</v>
      </c>
      <c r="C38" s="8" t="s">
        <v>34</v>
      </c>
      <c r="D38" s="8" t="s">
        <v>35</v>
      </c>
      <c r="E38" s="17">
        <v>28</v>
      </c>
      <c r="F38" s="18">
        <v>1.0900000000000001</v>
      </c>
      <c r="G38" s="18">
        <f>229.7*0.28</f>
        <v>64.316000000000003</v>
      </c>
      <c r="H38" s="9">
        <f>6.7*0.28</f>
        <v>1.8760000000000003</v>
      </c>
      <c r="I38" s="9">
        <f>1.1*0.28</f>
        <v>0.30800000000000005</v>
      </c>
      <c r="J38" s="10">
        <f>48.3*0.28</f>
        <v>13.524000000000001</v>
      </c>
    </row>
    <row r="39" spans="1:10" ht="16.5" thickBot="1" x14ac:dyDescent="0.3">
      <c r="A39" s="71" t="s">
        <v>15</v>
      </c>
      <c r="B39" s="72"/>
      <c r="C39" s="72"/>
      <c r="D39" s="72"/>
      <c r="E39" s="73"/>
      <c r="F39" s="19">
        <f>SUM(F36:F38)</f>
        <v>27</v>
      </c>
      <c r="G39" s="19">
        <f>SUM(G36:G38)</f>
        <v>282.31600000000003</v>
      </c>
      <c r="H39" s="19">
        <f>SUM(H36:H38)</f>
        <v>12.586000000000002</v>
      </c>
      <c r="I39" s="19">
        <f>SUM(I36:I38)</f>
        <v>12.267999999999999</v>
      </c>
      <c r="J39" s="19">
        <f>SUM(J36:J38)</f>
        <v>30.423999999999999</v>
      </c>
    </row>
    <row r="40" spans="1:10" ht="15.75" thickTop="1" x14ac:dyDescent="0.25">
      <c r="A40" s="74" t="s">
        <v>40</v>
      </c>
      <c r="B40" s="20" t="s">
        <v>18</v>
      </c>
      <c r="C40" s="21" t="s">
        <v>19</v>
      </c>
      <c r="D40" s="21" t="s">
        <v>20</v>
      </c>
      <c r="E40" s="13" t="s">
        <v>36</v>
      </c>
      <c r="F40" s="14">
        <v>2.97</v>
      </c>
      <c r="G40" s="14">
        <v>60</v>
      </c>
      <c r="H40" s="14">
        <v>7.0000000000000007E-2</v>
      </c>
      <c r="I40" s="14">
        <v>0.02</v>
      </c>
      <c r="J40" s="15">
        <v>15</v>
      </c>
    </row>
    <row r="41" spans="1:10" ht="45" customHeight="1" thickBot="1" x14ac:dyDescent="0.3">
      <c r="A41" s="75"/>
      <c r="B41" s="7" t="s">
        <v>45</v>
      </c>
      <c r="C41" s="8" t="s">
        <v>44</v>
      </c>
      <c r="D41" s="8" t="s">
        <v>54</v>
      </c>
      <c r="E41" s="17">
        <v>18</v>
      </c>
      <c r="F41" s="18">
        <v>4.03</v>
      </c>
      <c r="G41" s="18">
        <f>435*0.18</f>
        <v>78.3</v>
      </c>
      <c r="H41" s="18">
        <f>7.1*0.18</f>
        <v>1.2779999999999998</v>
      </c>
      <c r="I41" s="18">
        <f>15.1*0.18</f>
        <v>2.718</v>
      </c>
      <c r="J41" s="22">
        <f>67.7*0.18</f>
        <v>12.186</v>
      </c>
    </row>
    <row r="42" spans="1:10" ht="16.5" thickBot="1" x14ac:dyDescent="0.3">
      <c r="A42" s="71" t="s">
        <v>15</v>
      </c>
      <c r="B42" s="72"/>
      <c r="C42" s="72"/>
      <c r="D42" s="72"/>
      <c r="E42" s="73"/>
      <c r="F42" s="19">
        <f>SUM(F40:F41)</f>
        <v>7</v>
      </c>
      <c r="G42" s="19">
        <f t="shared" ref="G42:J42" si="3">SUM(G40:G41)</f>
        <v>138.30000000000001</v>
      </c>
      <c r="H42" s="19">
        <f t="shared" si="3"/>
        <v>1.3479999999999999</v>
      </c>
      <c r="I42" s="19">
        <f t="shared" si="3"/>
        <v>2.738</v>
      </c>
      <c r="J42" s="19">
        <f t="shared" si="3"/>
        <v>27.186</v>
      </c>
    </row>
    <row r="43" spans="1:10" x14ac:dyDescent="0.25">
      <c r="A43" s="63" t="s">
        <v>39</v>
      </c>
      <c r="B43" s="20" t="s">
        <v>16</v>
      </c>
      <c r="C43" s="21" t="s">
        <v>68</v>
      </c>
      <c r="D43" s="21" t="s">
        <v>71</v>
      </c>
      <c r="E43" s="13" t="s">
        <v>41</v>
      </c>
      <c r="F43" s="14">
        <v>8.58</v>
      </c>
      <c r="G43" s="14">
        <f>456*0.25+200*0</f>
        <v>114</v>
      </c>
      <c r="H43" s="14">
        <f>9.37*0.25+17.7*0</f>
        <v>2.3424999999999998</v>
      </c>
      <c r="I43" s="14">
        <f>11.31*0.25+14.4*0</f>
        <v>2.8275000000000001</v>
      </c>
      <c r="J43" s="15">
        <f>67.48*0.25+0</f>
        <v>16.87</v>
      </c>
    </row>
    <row r="44" spans="1:10" x14ac:dyDescent="0.25">
      <c r="A44" s="64"/>
      <c r="B44" s="5" t="s">
        <v>13</v>
      </c>
      <c r="C44" s="3" t="s">
        <v>72</v>
      </c>
      <c r="D44" s="3" t="s">
        <v>73</v>
      </c>
      <c r="E44" s="16">
        <v>40</v>
      </c>
      <c r="F44" s="4">
        <v>18.989999999999998</v>
      </c>
      <c r="G44" s="31">
        <f>273/75*40</f>
        <v>145.6</v>
      </c>
      <c r="H44" s="31">
        <f>10.11/75*40</f>
        <v>5.3920000000000003</v>
      </c>
      <c r="I44" s="31">
        <f>20.87/75*40</f>
        <v>11.130666666666666</v>
      </c>
      <c r="J44" s="32">
        <f>10.64/75*40</f>
        <v>5.674666666666667</v>
      </c>
    </row>
    <row r="45" spans="1:10" x14ac:dyDescent="0.25">
      <c r="A45" s="64"/>
      <c r="B45" s="59" t="s">
        <v>17</v>
      </c>
      <c r="C45" s="41" t="s">
        <v>58</v>
      </c>
      <c r="D45" s="41" t="s">
        <v>59</v>
      </c>
      <c r="E45" s="42">
        <v>150</v>
      </c>
      <c r="F45" s="43">
        <v>14.53</v>
      </c>
      <c r="G45" s="43">
        <f>162.5*1.5</f>
        <v>243.75</v>
      </c>
      <c r="H45" s="43">
        <f>6*1.5</f>
        <v>9</v>
      </c>
      <c r="I45" s="43">
        <f>4*1.5</f>
        <v>6</v>
      </c>
      <c r="J45" s="93">
        <f>26*1.5</f>
        <v>39</v>
      </c>
    </row>
    <row r="46" spans="1:10" x14ac:dyDescent="0.25">
      <c r="A46" s="64"/>
      <c r="B46" s="5" t="s">
        <v>18</v>
      </c>
      <c r="C46" s="3" t="s">
        <v>19</v>
      </c>
      <c r="D46" s="3" t="s">
        <v>20</v>
      </c>
      <c r="E46" s="16" t="s">
        <v>36</v>
      </c>
      <c r="F46" s="4">
        <v>2.21</v>
      </c>
      <c r="G46" s="4">
        <v>60</v>
      </c>
      <c r="H46" s="4">
        <v>7.0000000000000007E-2</v>
      </c>
      <c r="I46" s="4">
        <v>0.02</v>
      </c>
      <c r="J46" s="6">
        <v>15</v>
      </c>
    </row>
    <row r="47" spans="1:10" ht="15.75" thickBot="1" x14ac:dyDescent="0.3">
      <c r="A47" s="64"/>
      <c r="B47" s="7" t="s">
        <v>14</v>
      </c>
      <c r="C47" s="8" t="s">
        <v>34</v>
      </c>
      <c r="D47" s="8" t="s">
        <v>35</v>
      </c>
      <c r="E47" s="17">
        <v>18</v>
      </c>
      <c r="F47" s="18">
        <v>0.69</v>
      </c>
      <c r="G47" s="18">
        <f>229.7*0.18</f>
        <v>41.345999999999997</v>
      </c>
      <c r="H47" s="9">
        <f>6.7*0.18</f>
        <v>1.206</v>
      </c>
      <c r="I47" s="9">
        <f>1.1*0.18</f>
        <v>0.19800000000000001</v>
      </c>
      <c r="J47" s="10">
        <f>48.3*0.18</f>
        <v>8.6939999999999991</v>
      </c>
    </row>
    <row r="48" spans="1:10" ht="16.5" thickBot="1" x14ac:dyDescent="0.3">
      <c r="A48" s="65" t="s">
        <v>15</v>
      </c>
      <c r="B48" s="66"/>
      <c r="C48" s="66"/>
      <c r="D48" s="66"/>
      <c r="E48" s="67"/>
      <c r="F48" s="29">
        <f>SUM(F43:F47)</f>
        <v>45</v>
      </c>
      <c r="G48" s="29">
        <f t="shared" ref="G48:J48" si="4">SUM(G43:G47)</f>
        <v>604.69600000000003</v>
      </c>
      <c r="H48" s="29">
        <f t="shared" si="4"/>
        <v>18.0105</v>
      </c>
      <c r="I48" s="29">
        <f t="shared" si="4"/>
        <v>20.176166666666667</v>
      </c>
      <c r="J48" s="29">
        <f t="shared" si="4"/>
        <v>85.238666666666674</v>
      </c>
    </row>
    <row r="49" spans="1:10" ht="15.75" x14ac:dyDescent="0.25">
      <c r="A49" s="64" t="s">
        <v>64</v>
      </c>
      <c r="B49" s="37" t="s">
        <v>32</v>
      </c>
      <c r="C49" s="12" t="s">
        <v>49</v>
      </c>
      <c r="D49" s="12" t="s">
        <v>50</v>
      </c>
      <c r="E49" s="13">
        <v>35</v>
      </c>
      <c r="F49" s="14">
        <v>5.27</v>
      </c>
      <c r="G49" s="14">
        <f>11/50*35</f>
        <v>7.7</v>
      </c>
      <c r="H49" s="14">
        <f>0.55/50*35</f>
        <v>0.38500000000000006</v>
      </c>
      <c r="I49" s="14">
        <f>0.1/50*35</f>
        <v>7.0000000000000007E-2</v>
      </c>
      <c r="J49" s="15">
        <f>1.9/50*35</f>
        <v>1.33</v>
      </c>
    </row>
    <row r="50" spans="1:10" x14ac:dyDescent="0.25">
      <c r="A50" s="64"/>
      <c r="B50" s="5" t="s">
        <v>16</v>
      </c>
      <c r="C50" s="3" t="s">
        <v>68</v>
      </c>
      <c r="D50" s="3" t="s">
        <v>71</v>
      </c>
      <c r="E50" s="16" t="s">
        <v>41</v>
      </c>
      <c r="F50" s="4">
        <v>8.58</v>
      </c>
      <c r="G50" s="4">
        <f>456*0.25+200*0</f>
        <v>114</v>
      </c>
      <c r="H50" s="4">
        <f>9.37*0.25+17.7*0</f>
        <v>2.3424999999999998</v>
      </c>
      <c r="I50" s="4">
        <f>11.31*0.25+14.4*0</f>
        <v>2.8275000000000001</v>
      </c>
      <c r="J50" s="6">
        <f>67.48*0.25+0</f>
        <v>16.87</v>
      </c>
    </row>
    <row r="51" spans="1:10" x14ac:dyDescent="0.25">
      <c r="A51" s="64"/>
      <c r="B51" s="5" t="s">
        <v>13</v>
      </c>
      <c r="C51" s="3" t="s">
        <v>72</v>
      </c>
      <c r="D51" s="3" t="s">
        <v>73</v>
      </c>
      <c r="E51" s="16">
        <v>75</v>
      </c>
      <c r="F51" s="4">
        <v>35.61</v>
      </c>
      <c r="G51" s="31">
        <f>273/75*75</f>
        <v>273</v>
      </c>
      <c r="H51" s="31">
        <f>10.11/75*75</f>
        <v>10.11</v>
      </c>
      <c r="I51" s="31">
        <f>20.87/75*75</f>
        <v>20.87</v>
      </c>
      <c r="J51" s="32">
        <f>10.64/75*75</f>
        <v>10.64</v>
      </c>
    </row>
    <row r="52" spans="1:10" x14ac:dyDescent="0.25">
      <c r="A52" s="64"/>
      <c r="B52" s="54" t="s">
        <v>17</v>
      </c>
      <c r="C52" s="51" t="s">
        <v>58</v>
      </c>
      <c r="D52" s="51" t="s">
        <v>59</v>
      </c>
      <c r="E52" s="52">
        <v>120</v>
      </c>
      <c r="F52" s="53">
        <v>11.63</v>
      </c>
      <c r="G52" s="53">
        <f>162.5*1.2</f>
        <v>195</v>
      </c>
      <c r="H52" s="53">
        <f>6*1.2</f>
        <v>7.1999999999999993</v>
      </c>
      <c r="I52" s="53">
        <f>4*1.2</f>
        <v>4.8</v>
      </c>
      <c r="J52" s="55">
        <f>26*1.2</f>
        <v>31.2</v>
      </c>
    </row>
    <row r="53" spans="1:10" ht="30" x14ac:dyDescent="0.25">
      <c r="A53" s="64"/>
      <c r="B53" s="5" t="s">
        <v>74</v>
      </c>
      <c r="C53" s="3" t="s">
        <v>75</v>
      </c>
      <c r="D53" s="3" t="s">
        <v>76</v>
      </c>
      <c r="E53" s="16">
        <v>200</v>
      </c>
      <c r="F53" s="4">
        <v>10.83</v>
      </c>
      <c r="G53" s="4">
        <f>573*0.2</f>
        <v>114.60000000000001</v>
      </c>
      <c r="H53" s="4">
        <f>0.8*0.2</f>
        <v>0.16000000000000003</v>
      </c>
      <c r="I53" s="4">
        <f>0.6*0.2</f>
        <v>0.12</v>
      </c>
      <c r="J53" s="6">
        <f>140.4*0.2</f>
        <v>28.080000000000002</v>
      </c>
    </row>
    <row r="54" spans="1:10" x14ac:dyDescent="0.25">
      <c r="A54" s="64"/>
      <c r="B54" s="5" t="s">
        <v>45</v>
      </c>
      <c r="C54" s="3" t="s">
        <v>44</v>
      </c>
      <c r="D54" s="3" t="s">
        <v>54</v>
      </c>
      <c r="E54" s="16">
        <v>15</v>
      </c>
      <c r="F54" s="4">
        <v>3.33</v>
      </c>
      <c r="G54" s="4">
        <f>450*0.15</f>
        <v>67.5</v>
      </c>
      <c r="H54" s="4">
        <f>8*0.15</f>
        <v>1.2</v>
      </c>
      <c r="I54" s="4">
        <f>15*0.15</f>
        <v>2.25</v>
      </c>
      <c r="J54" s="6">
        <f>70.8*0.15</f>
        <v>10.62</v>
      </c>
    </row>
    <row r="55" spans="1:10" ht="15.75" thickBot="1" x14ac:dyDescent="0.3">
      <c r="A55" s="64"/>
      <c r="B55" s="7" t="s">
        <v>14</v>
      </c>
      <c r="C55" s="8" t="s">
        <v>34</v>
      </c>
      <c r="D55" s="8" t="s">
        <v>35</v>
      </c>
      <c r="E55" s="17">
        <v>45.5</v>
      </c>
      <c r="F55" s="18">
        <v>1.75</v>
      </c>
      <c r="G55" s="18">
        <f>229.7*0.455</f>
        <v>104.51349999999999</v>
      </c>
      <c r="H55" s="9">
        <f>6.7*0.455</f>
        <v>3.0485000000000002</v>
      </c>
      <c r="I55" s="9">
        <f>1.1*0.455</f>
        <v>0.50050000000000006</v>
      </c>
      <c r="J55" s="10">
        <f>48.3*0.455</f>
        <v>21.976499999999998</v>
      </c>
    </row>
    <row r="56" spans="1:10" ht="16.5" thickBot="1" x14ac:dyDescent="0.3">
      <c r="A56" s="65" t="s">
        <v>15</v>
      </c>
      <c r="B56" s="68"/>
      <c r="C56" s="68"/>
      <c r="D56" s="68"/>
      <c r="E56" s="69"/>
      <c r="F56" s="30">
        <f>SUM(F49:F55)</f>
        <v>77</v>
      </c>
      <c r="G56" s="30">
        <f>SUM(G49:G55)</f>
        <v>876.31350000000009</v>
      </c>
      <c r="H56" s="30">
        <f>SUM(H49:H55)</f>
        <v>24.445999999999998</v>
      </c>
      <c r="I56" s="30">
        <f>SUM(I49:I55)</f>
        <v>31.438000000000002</v>
      </c>
      <c r="J56" s="30">
        <f>SUM(J49:J55)</f>
        <v>120.71650000000001</v>
      </c>
    </row>
    <row r="57" spans="1:10" x14ac:dyDescent="0.25">
      <c r="F57" s="39"/>
    </row>
    <row r="58" spans="1:10" ht="15.75" thickBot="1" x14ac:dyDescent="0.3">
      <c r="A58" s="70" t="s">
        <v>26</v>
      </c>
      <c r="B58" s="70"/>
      <c r="C58" s="70"/>
      <c r="D58" s="70"/>
      <c r="E58" s="70"/>
      <c r="F58" s="70"/>
      <c r="G58" s="70"/>
      <c r="H58" s="70"/>
      <c r="I58" s="70"/>
      <c r="J58" s="70"/>
    </row>
    <row r="59" spans="1:10" ht="15.75" x14ac:dyDescent="0.25">
      <c r="A59" s="23"/>
      <c r="B59" s="23"/>
      <c r="C59" s="60" t="s">
        <v>24</v>
      </c>
      <c r="D59" s="60"/>
      <c r="F59" s="39"/>
      <c r="G59" s="61"/>
      <c r="H59" s="61"/>
      <c r="I59" s="61"/>
      <c r="J59" s="61"/>
    </row>
    <row r="60" spans="1:10" x14ac:dyDescent="0.25">
      <c r="A60" s="1"/>
      <c r="B60" s="1"/>
      <c r="C60" s="1"/>
      <c r="D60" s="1"/>
      <c r="F60" s="39"/>
    </row>
    <row r="61" spans="1:10" x14ac:dyDescent="0.25">
      <c r="A61" s="62" t="s">
        <v>25</v>
      </c>
      <c r="B61" s="62"/>
      <c r="F61" s="39"/>
    </row>
    <row r="62" spans="1:10" x14ac:dyDescent="0.25">
      <c r="A62" s="62" t="s">
        <v>27</v>
      </c>
      <c r="B62" s="62"/>
      <c r="F62" s="39"/>
    </row>
  </sheetData>
  <mergeCells count="25">
    <mergeCell ref="G1:J1"/>
    <mergeCell ref="A9:E9"/>
    <mergeCell ref="A10:A14"/>
    <mergeCell ref="A15:E15"/>
    <mergeCell ref="A23:E23"/>
    <mergeCell ref="A16:A22"/>
    <mergeCell ref="A3:A8"/>
    <mergeCell ref="A27:E27"/>
    <mergeCell ref="A24:A26"/>
    <mergeCell ref="A28:A34"/>
    <mergeCell ref="B1:C1"/>
    <mergeCell ref="A35:E35"/>
    <mergeCell ref="A36:A38"/>
    <mergeCell ref="A39:E39"/>
    <mergeCell ref="A40:A41"/>
    <mergeCell ref="A42:E42"/>
    <mergeCell ref="C59:D59"/>
    <mergeCell ref="G59:J59"/>
    <mergeCell ref="A61:B61"/>
    <mergeCell ref="A62:B62"/>
    <mergeCell ref="A43:A47"/>
    <mergeCell ref="A48:E48"/>
    <mergeCell ref="A49:A55"/>
    <mergeCell ref="A56:E56"/>
    <mergeCell ref="A58:J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2022-12-16T10:23:41Z</dcterms:modified>
</cp:coreProperties>
</file>