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I50" i="1"/>
  <c r="H50" i="1"/>
  <c r="G50" i="1"/>
  <c r="I46" i="1"/>
  <c r="H46" i="1"/>
  <c r="G46" i="1"/>
  <c r="J46" i="1"/>
  <c r="J48" i="1" l="1"/>
  <c r="I48" i="1"/>
  <c r="H48" i="1"/>
  <c r="G48" i="1"/>
  <c r="J44" i="1"/>
  <c r="I44" i="1"/>
  <c r="H44" i="1"/>
  <c r="G44" i="1"/>
  <c r="J42" i="1"/>
  <c r="I42" i="1"/>
  <c r="H42" i="1"/>
  <c r="G42" i="1"/>
  <c r="J38" i="1"/>
  <c r="H38" i="1"/>
  <c r="G38" i="1"/>
  <c r="I38" i="1"/>
  <c r="J36" i="1" l="1"/>
  <c r="I36" i="1"/>
  <c r="H36" i="1"/>
  <c r="G36" i="1"/>
  <c r="J33" i="1"/>
  <c r="I33" i="1"/>
  <c r="H33" i="1"/>
  <c r="G33" i="1"/>
  <c r="J34" i="1"/>
  <c r="I34" i="1"/>
  <c r="H34" i="1"/>
  <c r="G34" i="1"/>
  <c r="J31" i="1"/>
  <c r="I31" i="1"/>
  <c r="H31" i="1"/>
  <c r="G31" i="1"/>
  <c r="J28" i="1"/>
  <c r="I28" i="1"/>
  <c r="H28" i="1"/>
  <c r="G28" i="1"/>
  <c r="J27" i="1"/>
  <c r="I27" i="1"/>
  <c r="H27" i="1"/>
  <c r="G27" i="1"/>
  <c r="J26" i="1"/>
  <c r="I26" i="1"/>
  <c r="H26" i="1"/>
  <c r="G26" i="1"/>
  <c r="J24" i="1"/>
  <c r="I24" i="1"/>
  <c r="H24" i="1"/>
  <c r="G24" i="1"/>
  <c r="J20" i="1"/>
  <c r="I20" i="1"/>
  <c r="H20" i="1"/>
  <c r="G20" i="1"/>
  <c r="J18" i="1"/>
  <c r="I18" i="1"/>
  <c r="H18" i="1"/>
  <c r="G18" i="1"/>
  <c r="J16" i="1"/>
  <c r="I16" i="1"/>
  <c r="H16" i="1"/>
  <c r="G16" i="1"/>
  <c r="J14" i="1"/>
  <c r="I14" i="1"/>
  <c r="H14" i="1"/>
  <c r="H15" i="1"/>
  <c r="G14" i="1"/>
  <c r="J12" i="1"/>
  <c r="I12" i="1"/>
  <c r="H12" i="1"/>
  <c r="G12" i="1"/>
  <c r="J8" i="1"/>
  <c r="I8" i="1"/>
  <c r="H8" i="1"/>
  <c r="G8" i="1"/>
  <c r="J9" i="1" l="1"/>
  <c r="I9" i="1"/>
  <c r="H9" i="1"/>
  <c r="G9" i="1"/>
  <c r="J3" i="1" l="1"/>
  <c r="I3" i="1"/>
  <c r="H3" i="1"/>
  <c r="G3" i="1"/>
  <c r="J4" i="1"/>
  <c r="I4" i="1"/>
  <c r="H4" i="1"/>
  <c r="G4" i="1"/>
  <c r="J5" i="1"/>
  <c r="I5" i="1"/>
  <c r="H5" i="1"/>
  <c r="G5" i="1"/>
  <c r="G10" i="1" l="1"/>
  <c r="F51" i="1"/>
  <c r="J51" i="1"/>
  <c r="I51" i="1"/>
  <c r="H51" i="1"/>
  <c r="G51" i="1"/>
  <c r="F45" i="1"/>
  <c r="J45" i="1"/>
  <c r="I45" i="1"/>
  <c r="H45" i="1"/>
  <c r="G45" i="1"/>
  <c r="F40" i="1"/>
  <c r="J40" i="1"/>
  <c r="I40" i="1"/>
  <c r="H40" i="1"/>
  <c r="G40" i="1"/>
  <c r="F37" i="1"/>
  <c r="J37" i="1"/>
  <c r="I37" i="1"/>
  <c r="H37" i="1"/>
  <c r="G37" i="1"/>
  <c r="F32" i="1"/>
  <c r="J32" i="1"/>
  <c r="I32" i="1"/>
  <c r="H32" i="1"/>
  <c r="G32" i="1"/>
  <c r="J22" i="1" l="1"/>
  <c r="I22" i="1"/>
  <c r="H22" i="1"/>
  <c r="G22" i="1"/>
  <c r="F21" i="1"/>
  <c r="J21" i="1"/>
  <c r="I21" i="1"/>
  <c r="H21" i="1"/>
  <c r="G21" i="1"/>
  <c r="F10" i="1" l="1"/>
  <c r="F15" i="1" l="1"/>
  <c r="G25" i="1" l="1"/>
  <c r="H25" i="1"/>
  <c r="I25" i="1"/>
  <c r="J25" i="1"/>
  <c r="F25" i="1"/>
  <c r="J15" i="1" l="1"/>
  <c r="G15" i="1"/>
  <c r="I15" i="1" l="1"/>
  <c r="H10" i="1"/>
  <c r="I10" i="1"/>
  <c r="J10" i="1"/>
</calcChain>
</file>

<file path=xl/sharedStrings.xml><?xml version="1.0" encoding="utf-8"?>
<sst xmlns="http://schemas.openxmlformats.org/spreadsheetml/2006/main" count="176" uniqueCount="76">
  <si>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</si>
  <si>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</si>
  <si>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</si>
  <si>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</si>
  <si>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</si>
  <si>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</si>
  <si>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</si>
  <si>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</si>
  <si>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</si>
  <si>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</si>
  <si>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</si>
  <si>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</si>
  <si>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</si>
  <si>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</si>
  <si>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</si>
  <si>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</si>
  <si>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</si>
  <si>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</si>
  <si>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</si>
  <si>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</si>
  <si>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</si>
  <si>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</si>
  <si>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</si>
  <si>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</si>
  <si>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</si>
  <si>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</si>
  <si>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</si>
  <si>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</si>
  <si>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</si>
  <si>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</si>
  <si>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</si>
  <si>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</si>
  <si>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</si>
  <si>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</si>
  <si>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</si>
  <si>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</si>
  <si>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</si>
  <si>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Фрукт</t>
  </si>
  <si>
    <t>№338-2015г.</t>
  </si>
  <si>
    <t>Завтрак 1-4 кл и дети-инвалиды 1 смена</t>
  </si>
  <si>
    <t>ТТК №48</t>
  </si>
  <si>
    <t>Филе индейки тушёное</t>
  </si>
  <si>
    <t>40/40</t>
  </si>
  <si>
    <t>№102-2015г.</t>
  </si>
  <si>
    <t>Суп картофельный с горохом</t>
  </si>
  <si>
    <t>Апельсин свежий (порция)</t>
  </si>
  <si>
    <t>№1-2015г.</t>
  </si>
  <si>
    <t>Бутерброд с маслом</t>
  </si>
  <si>
    <t>ТТК №47</t>
  </si>
  <si>
    <t>Бутерброд с икрой</t>
  </si>
  <si>
    <t>5/25</t>
  </si>
  <si>
    <t>Завтрак 5-11 кл с доплатой 70,00 руб. и льготники с доплатой 50,00 руб.; ДМГ 77,00 1 смена</t>
  </si>
  <si>
    <t>Обед 6-7 кл. с доплатой 70,00 руб. и льготники с доплатой 50,00 руб.; ДМГ 77,00 2-я смена</t>
  </si>
  <si>
    <t>№312-2015г.</t>
  </si>
  <si>
    <t>Пюре картофельное</t>
  </si>
  <si>
    <t>№71-2015г.</t>
  </si>
  <si>
    <t>Овощи натуральные свежие (огурцы)</t>
  </si>
  <si>
    <t>Фрукты свежие (мандарины)</t>
  </si>
  <si>
    <t>№424-2015г.</t>
  </si>
  <si>
    <t>Булочка домашняя</t>
  </si>
  <si>
    <t>№265-2015г.</t>
  </si>
  <si>
    <t>Плов из свинины</t>
  </si>
  <si>
    <t>32,5/65</t>
  </si>
  <si>
    <t>5/2/20</t>
  </si>
  <si>
    <t>40/80</t>
  </si>
  <si>
    <t>№686-2004г.</t>
  </si>
  <si>
    <t>Чай с лимоном</t>
  </si>
  <si>
    <t>200/15/7</t>
  </si>
  <si>
    <t>№2-2015г.</t>
  </si>
  <si>
    <t>Бутерброд с повидлом</t>
  </si>
  <si>
    <t>20/30</t>
  </si>
  <si>
    <t>Суп картофельный с горохом с зеленью</t>
  </si>
  <si>
    <t>250/2</t>
  </si>
  <si>
    <t>№3-2015г.</t>
  </si>
  <si>
    <t>Бутерброд с сыром</t>
  </si>
  <si>
    <t>20/3/25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</si>
</sst>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/>
    <xf numFmtId="2" fontId="4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2" fontId="3" fillId="0" borderId="14" xfId="0" applyNumberFormat="1" applyFont="1" applyBorder="1" applyAlignment="1">
      <alignment vertical="center" wrapText="1"/>
    </xf>
    <xf numFmtId="2" fontId="3" fillId="0" borderId="15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2" fontId="3" fillId="0" borderId="9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4" fillId="0" borderId="7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2" fontId="7" fillId="0" borderId="4" xfId="0" applyNumberFormat="1" applyFont="1" applyBorder="1" applyAlignment="1">
      <alignment horizontal="right" vertical="center" wrapText="1"/>
    </xf>
    <xf numFmtId="2" fontId="7" fillId="0" borderId="12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/>
    <xf numFmtId="2" fontId="4" fillId="0" borderId="25" xfId="0" applyNumberFormat="1" applyFont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2" fontId="3" fillId="0" borderId="15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29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9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2" fontId="3" fillId="0" borderId="4" xfId="0" applyNumberFormat="1" applyFont="1" applyBorder="1" applyAlignment="1">
      <alignment vertical="center" wrapText="1"/>
    </xf>
    <xf numFmtId="2" fontId="3" fillId="0" borderId="12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horizontal="right" vertical="center" wrapText="1"/>
    </xf>
    <xf numFmtId="2" fontId="4" fillId="0" borderId="30" xfId="0" applyNumberFormat="1" applyFont="1" applyBorder="1" applyAlignment="1">
      <alignment vertical="center" wrapText="1"/>
    </xf>
    <xf numFmtId="2" fontId="4" fillId="0" borderId="36" xfId="0" applyNumberFormat="1" applyFont="1" applyBorder="1" applyAlignment="1">
      <alignment vertical="center" wrapText="1"/>
    </xf>
    <xf numFmtId="2" fontId="4" fillId="0" borderId="37" xfId="0" applyNumberFormat="1" applyFont="1" applyBorder="1" applyAlignment="1">
      <alignment vertical="center" wrapText="1"/>
    </xf>
    <xf numFmtId="2" fontId="4" fillId="0" borderId="35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0" fontId="3" fillId="0" borderId="4" xfId="1" applyFont="1" applyBorder="1" applyAlignment="1">
      <alignment horizontal="left" vertical="center" wrapText="1"/>
    </xf>
    <xf numFmtId="0" fontId="9" fillId="0" borderId="4" xfId="1" applyFont="1" applyBorder="1" applyAlignment="1">
      <alignment vertical="center" wrapText="1"/>
    </xf>
    <xf numFmtId="2" fontId="7" fillId="0" borderId="4" xfId="1" applyNumberFormat="1" applyFont="1" applyBorder="1" applyAlignment="1">
      <alignment horizontal="right" vertical="center" wrapText="1"/>
    </xf>
    <xf numFmtId="2" fontId="7" fillId="0" borderId="12" xfId="1" applyNumberFormat="1" applyFont="1" applyBorder="1" applyAlignment="1">
      <alignment horizontal="right" vertical="center" wrapText="1"/>
    </xf>
    <xf numFmtId="0" fontId="3" fillId="0" borderId="9" xfId="2" applyFont="1" applyBorder="1" applyAlignment="1">
      <alignment horizontal="left" vertical="center" wrapText="1"/>
    </xf>
    <xf numFmtId="2" fontId="3" fillId="0" borderId="9" xfId="2" applyNumberFormat="1" applyFont="1" applyBorder="1" applyAlignment="1">
      <alignment horizontal="right" vertical="center" wrapText="1"/>
    </xf>
    <xf numFmtId="2" fontId="3" fillId="0" borderId="10" xfId="2" applyNumberFormat="1" applyFont="1" applyBorder="1" applyAlignment="1">
      <alignment horizontal="right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43" workbookViewId="0">
      <selection activeCell="J51" sqref="J51"/>
    </sheetView>
  </sheetViews>
  <sheetFormatPr defaultRowHeight="15" x14ac:dyDescent="0.25"/>
  <cols>
    <col min="1" max="1" width="20.140625" style="2" customWidth="1"/>
    <col min="2" max="2" width="17.14062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8" t="s">
        <v>22</v>
      </c>
      <c r="C1" s="59"/>
      <c r="D1" s="1" t="s">
        <v>1</v>
      </c>
      <c r="E1" s="26"/>
      <c r="F1" s="1" t="s">
        <v>2</v>
      </c>
      <c r="G1" s="60">
        <v>44915</v>
      </c>
      <c r="H1" s="61"/>
      <c r="I1" s="61"/>
      <c r="J1" s="62"/>
      <c r="K1" s="1"/>
      <c r="L1" s="1"/>
    </row>
    <row r="2" spans="1:12" ht="15.75" thickBot="1" x14ac:dyDescent="0.3">
      <c r="A2" s="32" t="s">
        <v>3</v>
      </c>
      <c r="B2" s="5" t="s">
        <v>4</v>
      </c>
      <c r="C2" s="33" t="s">
        <v>5</v>
      </c>
      <c r="D2" s="37" t="s">
        <v>6</v>
      </c>
      <c r="E2" s="37" t="s">
        <v>7</v>
      </c>
      <c r="F2" s="37" t="s">
        <v>8</v>
      </c>
      <c r="G2" s="5" t="s">
        <v>9</v>
      </c>
      <c r="H2" s="5" t="s">
        <v>10</v>
      </c>
      <c r="I2" s="5" t="s">
        <v>11</v>
      </c>
      <c r="J2" s="34" t="s">
        <v>12</v>
      </c>
    </row>
    <row r="3" spans="1:12" ht="15" customHeight="1" x14ac:dyDescent="0.25">
      <c r="A3" s="75" t="s">
        <v>39</v>
      </c>
      <c r="B3" s="21" t="s">
        <v>30</v>
      </c>
      <c r="C3" s="22" t="s">
        <v>55</v>
      </c>
      <c r="D3" s="22" t="s">
        <v>56</v>
      </c>
      <c r="E3" s="14">
        <v>35</v>
      </c>
      <c r="F3" s="15">
        <v>9.1300000000000008</v>
      </c>
      <c r="G3" s="15">
        <f>6*0.7</f>
        <v>4.1999999999999993</v>
      </c>
      <c r="H3" s="15">
        <f>0.35*0.7</f>
        <v>0.24499999999999997</v>
      </c>
      <c r="I3" s="15">
        <f>0.05*0.7</f>
        <v>3.4999999999999996E-2</v>
      </c>
      <c r="J3" s="16">
        <f>0.95*0.7</f>
        <v>0.66499999999999992</v>
      </c>
    </row>
    <row r="4" spans="1:12" s="48" customFormat="1" ht="15" customHeight="1" x14ac:dyDescent="0.25">
      <c r="A4" s="75"/>
      <c r="B4" s="8" t="s">
        <v>13</v>
      </c>
      <c r="C4" s="6" t="s">
        <v>40</v>
      </c>
      <c r="D4" s="6" t="s">
        <v>41</v>
      </c>
      <c r="E4" s="17" t="s">
        <v>42</v>
      </c>
      <c r="F4" s="7">
        <v>41.94</v>
      </c>
      <c r="G4" s="24">
        <f>151.2*0.8</f>
        <v>120.96</v>
      </c>
      <c r="H4" s="24">
        <f>15.6*0.8</f>
        <v>12.48</v>
      </c>
      <c r="I4" s="24">
        <f>8.4*0.8</f>
        <v>6.7200000000000006</v>
      </c>
      <c r="J4" s="25">
        <f>3.3*0.8</f>
        <v>2.64</v>
      </c>
    </row>
    <row r="5" spans="1:12" s="47" customFormat="1" ht="15" customHeight="1" x14ac:dyDescent="0.25">
      <c r="A5" s="75"/>
      <c r="B5" s="8" t="s">
        <v>17</v>
      </c>
      <c r="C5" s="91" t="s">
        <v>53</v>
      </c>
      <c r="D5" s="92" t="s">
        <v>54</v>
      </c>
      <c r="E5" s="17">
        <v>150</v>
      </c>
      <c r="F5" s="7">
        <v>15.6</v>
      </c>
      <c r="G5" s="93">
        <f>915*0.15</f>
        <v>137.25</v>
      </c>
      <c r="H5" s="93">
        <f>20.43*0.15</f>
        <v>3.0644999999999998</v>
      </c>
      <c r="I5" s="93">
        <f>32.01*0.15</f>
        <v>4.8014999999999999</v>
      </c>
      <c r="J5" s="94">
        <f>136.26*0.15</f>
        <v>20.438999999999997</v>
      </c>
    </row>
    <row r="6" spans="1:12" s="47" customFormat="1" ht="15" customHeight="1" x14ac:dyDescent="0.25">
      <c r="A6" s="75"/>
      <c r="B6" s="8" t="s">
        <v>18</v>
      </c>
      <c r="C6" s="6" t="s">
        <v>19</v>
      </c>
      <c r="D6" s="6" t="s">
        <v>20</v>
      </c>
      <c r="E6" s="17" t="s">
        <v>33</v>
      </c>
      <c r="F6" s="7">
        <v>2.97</v>
      </c>
      <c r="G6" s="7">
        <v>60</v>
      </c>
      <c r="H6" s="7">
        <v>7.0000000000000007E-2</v>
      </c>
      <c r="I6" s="7">
        <v>0.02</v>
      </c>
      <c r="J6" s="9">
        <v>15</v>
      </c>
    </row>
    <row r="7" spans="1:12" s="44" customFormat="1" x14ac:dyDescent="0.25">
      <c r="A7" s="75"/>
      <c r="B7" s="8" t="s">
        <v>21</v>
      </c>
      <c r="C7" s="6" t="s">
        <v>58</v>
      </c>
      <c r="D7" s="6" t="s">
        <v>59</v>
      </c>
      <c r="E7" s="17">
        <v>50</v>
      </c>
      <c r="F7" s="7">
        <v>4.3600000000000003</v>
      </c>
      <c r="G7" s="7">
        <v>159</v>
      </c>
      <c r="H7" s="7">
        <v>3.64</v>
      </c>
      <c r="I7" s="7">
        <v>6.26</v>
      </c>
      <c r="J7" s="9">
        <v>21.96</v>
      </c>
    </row>
    <row r="8" spans="1:12" s="40" customFormat="1" ht="15" customHeight="1" x14ac:dyDescent="0.25">
      <c r="A8" s="75"/>
      <c r="B8" s="8" t="s">
        <v>14</v>
      </c>
      <c r="C8" s="6" t="s">
        <v>31</v>
      </c>
      <c r="D8" s="6" t="s">
        <v>32</v>
      </c>
      <c r="E8" s="17">
        <v>59</v>
      </c>
      <c r="F8" s="7">
        <v>2.27</v>
      </c>
      <c r="G8" s="7">
        <f>229.7*0.59</f>
        <v>135.523</v>
      </c>
      <c r="H8" s="49">
        <f>6.7*0.59</f>
        <v>3.9529999999999998</v>
      </c>
      <c r="I8" s="49">
        <f>1.1*0.59</f>
        <v>0.64900000000000002</v>
      </c>
      <c r="J8" s="50">
        <f>48.3*0.59</f>
        <v>28.496999999999996</v>
      </c>
    </row>
    <row r="9" spans="1:12" s="39" customFormat="1" ht="15.75" thickBot="1" x14ac:dyDescent="0.3">
      <c r="A9" s="75"/>
      <c r="B9" s="10" t="s">
        <v>37</v>
      </c>
      <c r="C9" s="11" t="s">
        <v>38</v>
      </c>
      <c r="D9" s="11" t="s">
        <v>57</v>
      </c>
      <c r="E9" s="18">
        <v>100</v>
      </c>
      <c r="F9" s="19">
        <v>20.88</v>
      </c>
      <c r="G9" s="43">
        <f>38*1</f>
        <v>38</v>
      </c>
      <c r="H9" s="43">
        <f>0.8*1</f>
        <v>0.8</v>
      </c>
      <c r="I9" s="43">
        <f>0.2*1</f>
        <v>0.2</v>
      </c>
      <c r="J9" s="51">
        <f>7.5*1</f>
        <v>7.5</v>
      </c>
    </row>
    <row r="10" spans="1:12" ht="16.5" thickBot="1" x14ac:dyDescent="0.3">
      <c r="A10" s="66" t="s">
        <v>15</v>
      </c>
      <c r="B10" s="67"/>
      <c r="C10" s="67"/>
      <c r="D10" s="67"/>
      <c r="E10" s="68"/>
      <c r="F10" s="52">
        <f>SUM(F3:F9)</f>
        <v>97.149999999999991</v>
      </c>
      <c r="G10" s="52">
        <f>SUM(G3:G9)</f>
        <v>654.93299999999999</v>
      </c>
      <c r="H10" s="53">
        <f>SUM(H3:H9)</f>
        <v>24.252500000000001</v>
      </c>
      <c r="I10" s="54">
        <f>SUM(I3:I9)</f>
        <v>18.685500000000001</v>
      </c>
      <c r="J10" s="55">
        <f>SUM(J3:J9)</f>
        <v>96.700999999999993</v>
      </c>
    </row>
    <row r="11" spans="1:12" x14ac:dyDescent="0.25">
      <c r="A11" s="69" t="s">
        <v>27</v>
      </c>
      <c r="B11" s="21" t="s">
        <v>16</v>
      </c>
      <c r="C11" s="22" t="s">
        <v>43</v>
      </c>
      <c r="D11" s="22" t="s">
        <v>44</v>
      </c>
      <c r="E11" s="14">
        <v>250</v>
      </c>
      <c r="F11" s="15">
        <v>5.83</v>
      </c>
      <c r="G11" s="15">
        <v>148.25</v>
      </c>
      <c r="H11" s="15">
        <v>5.49</v>
      </c>
      <c r="I11" s="15">
        <v>5.27</v>
      </c>
      <c r="J11" s="16">
        <v>16.54</v>
      </c>
      <c r="K11"/>
    </row>
    <row r="12" spans="1:12" x14ac:dyDescent="0.25">
      <c r="A12" s="69"/>
      <c r="B12" s="8" t="s">
        <v>13</v>
      </c>
      <c r="C12" s="6" t="s">
        <v>60</v>
      </c>
      <c r="D12" s="6" t="s">
        <v>61</v>
      </c>
      <c r="E12" s="17" t="s">
        <v>62</v>
      </c>
      <c r="F12" s="7">
        <v>31.87</v>
      </c>
      <c r="G12" s="24">
        <f>408/50*32.5</f>
        <v>265.2</v>
      </c>
      <c r="H12" s="24">
        <f>12.62/50*32.5</f>
        <v>8.2029999999999994</v>
      </c>
      <c r="I12" s="24">
        <f>28.17/50*32.5</f>
        <v>18.310500000000001</v>
      </c>
      <c r="J12" s="25">
        <f>25.89/50*32.5</f>
        <v>16.828500000000002</v>
      </c>
      <c r="K12"/>
    </row>
    <row r="13" spans="1:12" s="29" customFormat="1" x14ac:dyDescent="0.25">
      <c r="A13" s="69"/>
      <c r="B13" s="8" t="s">
        <v>18</v>
      </c>
      <c r="C13" s="6" t="s">
        <v>19</v>
      </c>
      <c r="D13" s="6" t="s">
        <v>20</v>
      </c>
      <c r="E13" s="17" t="s">
        <v>33</v>
      </c>
      <c r="F13" s="7">
        <v>2.97</v>
      </c>
      <c r="G13" s="7">
        <v>60</v>
      </c>
      <c r="H13" s="7">
        <v>7.0000000000000007E-2</v>
      </c>
      <c r="I13" s="7">
        <v>0.02</v>
      </c>
      <c r="J13" s="9">
        <v>15</v>
      </c>
    </row>
    <row r="14" spans="1:12" ht="15.75" thickBot="1" x14ac:dyDescent="0.3">
      <c r="A14" s="69"/>
      <c r="B14" s="10" t="s">
        <v>14</v>
      </c>
      <c r="C14" s="11" t="s">
        <v>31</v>
      </c>
      <c r="D14" s="11" t="s">
        <v>32</v>
      </c>
      <c r="E14" s="18">
        <v>42</v>
      </c>
      <c r="F14" s="19">
        <v>1.62</v>
      </c>
      <c r="G14" s="19">
        <f>229.7*0.42</f>
        <v>96.47399999999999</v>
      </c>
      <c r="H14" s="12">
        <f>6.7*0.42</f>
        <v>2.8140000000000001</v>
      </c>
      <c r="I14" s="12">
        <f>1.1*0.42</f>
        <v>0.46200000000000002</v>
      </c>
      <c r="J14" s="13">
        <f>48.3*0.42</f>
        <v>20.285999999999998</v>
      </c>
    </row>
    <row r="15" spans="1:12" ht="16.5" thickBot="1" x14ac:dyDescent="0.3">
      <c r="A15" s="70" t="s">
        <v>15</v>
      </c>
      <c r="B15" s="71"/>
      <c r="C15" s="71"/>
      <c r="D15" s="71"/>
      <c r="E15" s="72"/>
      <c r="F15" s="28">
        <f>SUM(F11:F14)</f>
        <v>42.29</v>
      </c>
      <c r="G15" s="28">
        <f>SUM(G11:G14)</f>
        <v>569.92399999999998</v>
      </c>
      <c r="H15" s="28">
        <f>SUM(H11:H14)</f>
        <v>16.576999999999998</v>
      </c>
      <c r="I15" s="28">
        <f>SUM(I11:I14)</f>
        <v>24.0625</v>
      </c>
      <c r="J15" s="28">
        <f>SUM(J11:J14)</f>
        <v>68.654499999999999</v>
      </c>
    </row>
    <row r="16" spans="1:12" s="38" customFormat="1" ht="15.75" x14ac:dyDescent="0.25">
      <c r="A16" s="78" t="s">
        <v>28</v>
      </c>
      <c r="B16" s="57" t="s">
        <v>30</v>
      </c>
      <c r="C16" s="42" t="s">
        <v>48</v>
      </c>
      <c r="D16" s="42" t="s">
        <v>49</v>
      </c>
      <c r="E16" s="56" t="s">
        <v>63</v>
      </c>
      <c r="F16" s="15">
        <v>48.71</v>
      </c>
      <c r="G16" s="15">
        <f>77.3-6.6</f>
        <v>70.7</v>
      </c>
      <c r="H16" s="15">
        <f>2.9-0.08</f>
        <v>2.82</v>
      </c>
      <c r="I16" s="15">
        <f>3-0.725</f>
        <v>2.2749999999999999</v>
      </c>
      <c r="J16" s="16">
        <f>9.7-0.013</f>
        <v>9.6869999999999994</v>
      </c>
    </row>
    <row r="17" spans="1:11" s="46" customFormat="1" x14ac:dyDescent="0.25">
      <c r="A17" s="79"/>
      <c r="B17" s="8" t="s">
        <v>16</v>
      </c>
      <c r="C17" s="6" t="s">
        <v>43</v>
      </c>
      <c r="D17" s="6" t="s">
        <v>44</v>
      </c>
      <c r="E17" s="17">
        <v>250</v>
      </c>
      <c r="F17" s="7">
        <v>5.83</v>
      </c>
      <c r="G17" s="7">
        <v>148.25</v>
      </c>
      <c r="H17" s="7">
        <v>5.49</v>
      </c>
      <c r="I17" s="7">
        <v>5.27</v>
      </c>
      <c r="J17" s="9">
        <v>16.54</v>
      </c>
    </row>
    <row r="18" spans="1:11" s="27" customFormat="1" x14ac:dyDescent="0.25">
      <c r="A18" s="79"/>
      <c r="B18" s="8" t="s">
        <v>13</v>
      </c>
      <c r="C18" s="6" t="s">
        <v>60</v>
      </c>
      <c r="D18" s="6" t="s">
        <v>61</v>
      </c>
      <c r="E18" s="17" t="s">
        <v>64</v>
      </c>
      <c r="F18" s="7">
        <v>39.229999999999997</v>
      </c>
      <c r="G18" s="24">
        <f>408/50*40</f>
        <v>326.39999999999998</v>
      </c>
      <c r="H18" s="24">
        <f>12.62/50*40</f>
        <v>10.095999999999998</v>
      </c>
      <c r="I18" s="24">
        <f>28.17/50*40</f>
        <v>22.536000000000001</v>
      </c>
      <c r="J18" s="25">
        <f>25.89/50*40</f>
        <v>20.712000000000003</v>
      </c>
      <c r="K18"/>
    </row>
    <row r="19" spans="1:11" s="35" customFormat="1" x14ac:dyDescent="0.25">
      <c r="A19" s="79"/>
      <c r="B19" s="8" t="s">
        <v>18</v>
      </c>
      <c r="C19" s="6" t="s">
        <v>19</v>
      </c>
      <c r="D19" s="6" t="s">
        <v>20</v>
      </c>
      <c r="E19" s="17" t="s">
        <v>33</v>
      </c>
      <c r="F19" s="7">
        <v>2.97</v>
      </c>
      <c r="G19" s="7">
        <v>60</v>
      </c>
      <c r="H19" s="7">
        <v>7.0000000000000007E-2</v>
      </c>
      <c r="I19" s="7">
        <v>0.02</v>
      </c>
      <c r="J19" s="9">
        <v>15</v>
      </c>
    </row>
    <row r="20" spans="1:11" s="35" customFormat="1" ht="15.75" thickBot="1" x14ac:dyDescent="0.3">
      <c r="A20" s="79"/>
      <c r="B20" s="10" t="s">
        <v>14</v>
      </c>
      <c r="C20" s="11" t="s">
        <v>31</v>
      </c>
      <c r="D20" s="11" t="s">
        <v>32</v>
      </c>
      <c r="E20" s="18">
        <v>10.5</v>
      </c>
      <c r="F20" s="19">
        <v>0.41</v>
      </c>
      <c r="G20" s="19">
        <f>229.7*0.105</f>
        <v>24.118499999999997</v>
      </c>
      <c r="H20" s="12">
        <f>6.7*0.105</f>
        <v>0.70350000000000001</v>
      </c>
      <c r="I20" s="12">
        <f>1.1*0.105</f>
        <v>0.11550000000000001</v>
      </c>
      <c r="J20" s="13">
        <f>48.3*0.105</f>
        <v>5.0714999999999995</v>
      </c>
    </row>
    <row r="21" spans="1:11" s="30" customFormat="1" ht="16.5" thickBot="1" x14ac:dyDescent="0.3">
      <c r="A21" s="66" t="s">
        <v>15</v>
      </c>
      <c r="B21" s="73"/>
      <c r="C21" s="73"/>
      <c r="D21" s="73"/>
      <c r="E21" s="74"/>
      <c r="F21" s="20">
        <f>SUM(F16:F20)</f>
        <v>97.149999999999991</v>
      </c>
      <c r="G21" s="20">
        <f>SUM(G16:G20)</f>
        <v>629.46849999999995</v>
      </c>
      <c r="H21" s="20">
        <f>SUM(H16:H20)</f>
        <v>19.179499999999997</v>
      </c>
      <c r="I21" s="20">
        <f>SUM(I16:I20)</f>
        <v>30.216500000000003</v>
      </c>
      <c r="J21" s="20">
        <f>SUM(J16:J20)</f>
        <v>67.010499999999993</v>
      </c>
      <c r="K21"/>
    </row>
    <row r="22" spans="1:11" s="35" customFormat="1" x14ac:dyDescent="0.25">
      <c r="A22" s="69" t="s">
        <v>29</v>
      </c>
      <c r="B22" s="21" t="s">
        <v>30</v>
      </c>
      <c r="C22" s="22" t="s">
        <v>46</v>
      </c>
      <c r="D22" s="22" t="s">
        <v>47</v>
      </c>
      <c r="E22" s="56" t="s">
        <v>50</v>
      </c>
      <c r="F22" s="15">
        <v>9.68</v>
      </c>
      <c r="G22" s="15">
        <f>66*0.5+229.7*0.25</f>
        <v>90.424999999999997</v>
      </c>
      <c r="H22" s="15">
        <f>0.08*0.5+6.7*0.25</f>
        <v>1.7150000000000001</v>
      </c>
      <c r="I22" s="15">
        <f>7.25*0.5+1.1*0.25</f>
        <v>3.9</v>
      </c>
      <c r="J22" s="16">
        <f>0.13*0.5+48.3*0.25</f>
        <v>12.139999999999999</v>
      </c>
      <c r="K22"/>
    </row>
    <row r="23" spans="1:11" s="41" customFormat="1" x14ac:dyDescent="0.25">
      <c r="A23" s="69"/>
      <c r="B23" s="8" t="s">
        <v>18</v>
      </c>
      <c r="C23" s="6" t="s">
        <v>19</v>
      </c>
      <c r="D23" s="6" t="s">
        <v>20</v>
      </c>
      <c r="E23" s="17" t="s">
        <v>33</v>
      </c>
      <c r="F23" s="7">
        <v>2.97</v>
      </c>
      <c r="G23" s="7">
        <v>60</v>
      </c>
      <c r="H23" s="7">
        <v>7.0000000000000007E-2</v>
      </c>
      <c r="I23" s="7">
        <v>0.02</v>
      </c>
      <c r="J23" s="9">
        <v>15</v>
      </c>
      <c r="K23"/>
    </row>
    <row r="24" spans="1:11" s="36" customFormat="1" ht="15.75" thickBot="1" x14ac:dyDescent="0.3">
      <c r="A24" s="69"/>
      <c r="B24" s="10" t="s">
        <v>37</v>
      </c>
      <c r="C24" s="11" t="s">
        <v>38</v>
      </c>
      <c r="D24" s="11" t="s">
        <v>45</v>
      </c>
      <c r="E24" s="18">
        <v>175</v>
      </c>
      <c r="F24" s="19">
        <v>29.64</v>
      </c>
      <c r="G24" s="43">
        <f>43*1.75</f>
        <v>75.25</v>
      </c>
      <c r="H24" s="43">
        <f>0.9*1.75</f>
        <v>1.575</v>
      </c>
      <c r="I24" s="43">
        <f>0.2*1.75</f>
        <v>0.35000000000000003</v>
      </c>
      <c r="J24" s="51">
        <f>8.1*1.75</f>
        <v>14.174999999999999</v>
      </c>
    </row>
    <row r="25" spans="1:11" ht="16.5" thickBot="1" x14ac:dyDescent="0.3">
      <c r="A25" s="87" t="s">
        <v>15</v>
      </c>
      <c r="B25" s="88"/>
      <c r="C25" s="88"/>
      <c r="D25" s="88"/>
      <c r="E25" s="89"/>
      <c r="F25" s="3">
        <f>SUM(F22:F24)</f>
        <v>42.29</v>
      </c>
      <c r="G25" s="3">
        <f>SUM(G22:G24)</f>
        <v>225.67500000000001</v>
      </c>
      <c r="H25" s="3">
        <f>SUM(H22:H24)</f>
        <v>3.3600000000000003</v>
      </c>
      <c r="I25" s="3">
        <f>SUM(I22:I24)</f>
        <v>4.2699999999999996</v>
      </c>
      <c r="J25" s="3">
        <f>SUM(J22:J24)</f>
        <v>41.314999999999998</v>
      </c>
      <c r="K25"/>
    </row>
    <row r="26" spans="1:11" x14ac:dyDescent="0.25">
      <c r="A26" s="75" t="s">
        <v>51</v>
      </c>
      <c r="B26" s="21" t="s">
        <v>30</v>
      </c>
      <c r="C26" s="22" t="s">
        <v>55</v>
      </c>
      <c r="D26" s="22" t="s">
        <v>56</v>
      </c>
      <c r="E26" s="14">
        <v>35</v>
      </c>
      <c r="F26" s="15">
        <v>9.1300000000000008</v>
      </c>
      <c r="G26" s="15">
        <f>6*0.7</f>
        <v>4.1999999999999993</v>
      </c>
      <c r="H26" s="15">
        <f>0.35*0.7</f>
        <v>0.24499999999999997</v>
      </c>
      <c r="I26" s="15">
        <f>0.05*0.7</f>
        <v>3.4999999999999996E-2</v>
      </c>
      <c r="J26" s="16">
        <f>0.95*0.7</f>
        <v>0.66499999999999992</v>
      </c>
    </row>
    <row r="27" spans="1:11" s="48" customFormat="1" x14ac:dyDescent="0.25">
      <c r="A27" s="75"/>
      <c r="B27" s="8" t="s">
        <v>13</v>
      </c>
      <c r="C27" s="6" t="s">
        <v>40</v>
      </c>
      <c r="D27" s="6" t="s">
        <v>41</v>
      </c>
      <c r="E27" s="17" t="s">
        <v>42</v>
      </c>
      <c r="F27" s="7">
        <v>41.94</v>
      </c>
      <c r="G27" s="24">
        <f>151.2*0.8</f>
        <v>120.96</v>
      </c>
      <c r="H27" s="24">
        <f>15.6*0.8</f>
        <v>12.48</v>
      </c>
      <c r="I27" s="24">
        <f>8.4*0.8</f>
        <v>6.7200000000000006</v>
      </c>
      <c r="J27" s="25">
        <f>3.3*0.8</f>
        <v>2.64</v>
      </c>
    </row>
    <row r="28" spans="1:11" ht="15.75" x14ac:dyDescent="0.25">
      <c r="A28" s="75"/>
      <c r="B28" s="8" t="s">
        <v>17</v>
      </c>
      <c r="C28" s="91" t="s">
        <v>53</v>
      </c>
      <c r="D28" s="92" t="s">
        <v>54</v>
      </c>
      <c r="E28" s="17">
        <v>150</v>
      </c>
      <c r="F28" s="7">
        <v>15.6</v>
      </c>
      <c r="G28" s="93">
        <f>915*0.15</f>
        <v>137.25</v>
      </c>
      <c r="H28" s="93">
        <f>20.43*0.15</f>
        <v>3.0644999999999998</v>
      </c>
      <c r="I28" s="93">
        <f>32.01*0.15</f>
        <v>4.8014999999999999</v>
      </c>
      <c r="J28" s="94">
        <f>136.26*0.15</f>
        <v>20.438999999999997</v>
      </c>
    </row>
    <row r="29" spans="1:11" x14ac:dyDescent="0.25">
      <c r="A29" s="75"/>
      <c r="B29" s="8" t="s">
        <v>18</v>
      </c>
      <c r="C29" s="6" t="s">
        <v>65</v>
      </c>
      <c r="D29" s="6" t="s">
        <v>66</v>
      </c>
      <c r="E29" s="17" t="s">
        <v>67</v>
      </c>
      <c r="F29" s="7">
        <v>4.5</v>
      </c>
      <c r="G29" s="7">
        <v>62</v>
      </c>
      <c r="H29" s="7">
        <v>0.13</v>
      </c>
      <c r="I29" s="7">
        <v>0.02</v>
      </c>
      <c r="J29" s="9">
        <v>15.2</v>
      </c>
    </row>
    <row r="30" spans="1:11" x14ac:dyDescent="0.25">
      <c r="A30" s="75"/>
      <c r="B30" s="8" t="s">
        <v>21</v>
      </c>
      <c r="C30" s="6" t="s">
        <v>58</v>
      </c>
      <c r="D30" s="6" t="s">
        <v>59</v>
      </c>
      <c r="E30" s="17">
        <v>50</v>
      </c>
      <c r="F30" s="7">
        <v>4.3600000000000003</v>
      </c>
      <c r="G30" s="7">
        <v>159</v>
      </c>
      <c r="H30" s="7">
        <v>3.64</v>
      </c>
      <c r="I30" s="7">
        <v>6.26</v>
      </c>
      <c r="J30" s="9">
        <v>21.96</v>
      </c>
    </row>
    <row r="31" spans="1:11" ht="15.75" thickBot="1" x14ac:dyDescent="0.3">
      <c r="A31" s="75"/>
      <c r="B31" s="10" t="s">
        <v>14</v>
      </c>
      <c r="C31" s="11" t="s">
        <v>31</v>
      </c>
      <c r="D31" s="11" t="s">
        <v>32</v>
      </c>
      <c r="E31" s="18">
        <v>38</v>
      </c>
      <c r="F31" s="19">
        <v>1.47</v>
      </c>
      <c r="G31" s="19">
        <f>229.7*0.38</f>
        <v>87.286000000000001</v>
      </c>
      <c r="H31" s="12">
        <f>6.7*0.38</f>
        <v>2.5460000000000003</v>
      </c>
      <c r="I31" s="12">
        <f>1.1*0.38</f>
        <v>0.41800000000000004</v>
      </c>
      <c r="J31" s="13">
        <f>48.3*0.38</f>
        <v>18.353999999999999</v>
      </c>
    </row>
    <row r="32" spans="1:11" ht="16.5" thickBot="1" x14ac:dyDescent="0.3">
      <c r="A32" s="76" t="s">
        <v>15</v>
      </c>
      <c r="B32" s="73"/>
      <c r="C32" s="73"/>
      <c r="D32" s="73"/>
      <c r="E32" s="77"/>
      <c r="F32" s="20">
        <f>SUM(F26:F31)</f>
        <v>77</v>
      </c>
      <c r="G32" s="20">
        <f>SUM(G26:G31)</f>
        <v>570.69599999999991</v>
      </c>
      <c r="H32" s="20">
        <f>SUM(H26:H31)</f>
        <v>22.105499999999999</v>
      </c>
      <c r="I32" s="20">
        <f>SUM(I26:I31)</f>
        <v>18.2545</v>
      </c>
      <c r="J32" s="20">
        <f>SUM(J26:J31)</f>
        <v>79.257999999999996</v>
      </c>
    </row>
    <row r="33" spans="1:10" x14ac:dyDescent="0.25">
      <c r="A33" s="78" t="s">
        <v>34</v>
      </c>
      <c r="B33" s="21" t="s">
        <v>30</v>
      </c>
      <c r="C33" s="22" t="s">
        <v>55</v>
      </c>
      <c r="D33" s="22" t="s">
        <v>56</v>
      </c>
      <c r="E33" s="14">
        <v>30</v>
      </c>
      <c r="F33" s="15">
        <v>7.83</v>
      </c>
      <c r="G33" s="15">
        <f>6*0.6</f>
        <v>3.5999999999999996</v>
      </c>
      <c r="H33" s="15">
        <f>0.35*0.6</f>
        <v>0.21</v>
      </c>
      <c r="I33" s="15">
        <f>0.05*0.6</f>
        <v>0.03</v>
      </c>
      <c r="J33" s="16">
        <f>0.95*0.6</f>
        <v>0.56999999999999995</v>
      </c>
    </row>
    <row r="34" spans="1:10" ht="15.75" x14ac:dyDescent="0.25">
      <c r="A34" s="79"/>
      <c r="B34" s="8" t="s">
        <v>17</v>
      </c>
      <c r="C34" s="91" t="s">
        <v>53</v>
      </c>
      <c r="D34" s="92" t="s">
        <v>54</v>
      </c>
      <c r="E34" s="17">
        <v>150</v>
      </c>
      <c r="F34" s="7">
        <v>15.6</v>
      </c>
      <c r="G34" s="93">
        <f>915*0.15</f>
        <v>137.25</v>
      </c>
      <c r="H34" s="93">
        <f>20.43*0.15</f>
        <v>3.0644999999999998</v>
      </c>
      <c r="I34" s="93">
        <f>32.01*0.15</f>
        <v>4.8014999999999999</v>
      </c>
      <c r="J34" s="94">
        <f>136.26*0.15</f>
        <v>20.438999999999997</v>
      </c>
    </row>
    <row r="35" spans="1:10" x14ac:dyDescent="0.25">
      <c r="A35" s="79"/>
      <c r="B35" s="8" t="s">
        <v>18</v>
      </c>
      <c r="C35" s="6" t="s">
        <v>19</v>
      </c>
      <c r="D35" s="6" t="s">
        <v>20</v>
      </c>
      <c r="E35" s="17" t="s">
        <v>33</v>
      </c>
      <c r="F35" s="7">
        <v>2.97</v>
      </c>
      <c r="G35" s="7">
        <v>60</v>
      </c>
      <c r="H35" s="7">
        <v>7.0000000000000007E-2</v>
      </c>
      <c r="I35" s="7">
        <v>0.02</v>
      </c>
      <c r="J35" s="9">
        <v>15</v>
      </c>
    </row>
    <row r="36" spans="1:10" ht="15.75" thickBot="1" x14ac:dyDescent="0.3">
      <c r="A36" s="80"/>
      <c r="B36" s="10" t="s">
        <v>14</v>
      </c>
      <c r="C36" s="11" t="s">
        <v>31</v>
      </c>
      <c r="D36" s="11" t="s">
        <v>32</v>
      </c>
      <c r="E36" s="18">
        <v>15.5</v>
      </c>
      <c r="F36" s="19">
        <v>0.6</v>
      </c>
      <c r="G36" s="19">
        <f>229.7*0.155</f>
        <v>35.603499999999997</v>
      </c>
      <c r="H36" s="12">
        <f>6.7*0.155</f>
        <v>1.0385</v>
      </c>
      <c r="I36" s="12">
        <f>1.1*0.155</f>
        <v>0.17050000000000001</v>
      </c>
      <c r="J36" s="13">
        <f>48.3*0.155</f>
        <v>7.4864999999999995</v>
      </c>
    </row>
    <row r="37" spans="1:10" ht="16.5" thickBot="1" x14ac:dyDescent="0.3">
      <c r="A37" s="81" t="s">
        <v>15</v>
      </c>
      <c r="B37" s="73"/>
      <c r="C37" s="73"/>
      <c r="D37" s="73"/>
      <c r="E37" s="77"/>
      <c r="F37" s="20">
        <f>SUM(F33:F36)</f>
        <v>27</v>
      </c>
      <c r="G37" s="20">
        <f>SUM(G33:G36)</f>
        <v>236.45349999999999</v>
      </c>
      <c r="H37" s="20">
        <f>SUM(H33:H36)</f>
        <v>4.3829999999999991</v>
      </c>
      <c r="I37" s="20">
        <f>SUM(I33:I36)</f>
        <v>5.0219999999999994</v>
      </c>
      <c r="J37" s="20">
        <f>SUM(J33:J36)</f>
        <v>43.4955</v>
      </c>
    </row>
    <row r="38" spans="1:10" x14ac:dyDescent="0.25">
      <c r="A38" s="82" t="s">
        <v>35</v>
      </c>
      <c r="B38" s="21" t="s">
        <v>30</v>
      </c>
      <c r="C38" s="22" t="s">
        <v>68</v>
      </c>
      <c r="D38" s="22" t="s">
        <v>69</v>
      </c>
      <c r="E38" s="14" t="s">
        <v>70</v>
      </c>
      <c r="F38" s="15">
        <v>4.03</v>
      </c>
      <c r="G38" s="15">
        <f>250*0.2+229.7*0.3</f>
        <v>118.91</v>
      </c>
      <c r="H38" s="15">
        <f>0.4*0.2+6.7*0.3</f>
        <v>2.09</v>
      </c>
      <c r="I38" s="15">
        <f>0+1.1*0.3</f>
        <v>0.33</v>
      </c>
      <c r="J38" s="16">
        <f>65*0.2+48.3*0.3</f>
        <v>27.49</v>
      </c>
    </row>
    <row r="39" spans="1:10" ht="15.75" thickBot="1" x14ac:dyDescent="0.3">
      <c r="A39" s="83"/>
      <c r="B39" s="10" t="s">
        <v>18</v>
      </c>
      <c r="C39" s="11" t="s">
        <v>19</v>
      </c>
      <c r="D39" s="11" t="s">
        <v>20</v>
      </c>
      <c r="E39" s="18" t="s">
        <v>33</v>
      </c>
      <c r="F39" s="19">
        <v>2.97</v>
      </c>
      <c r="G39" s="19">
        <v>60</v>
      </c>
      <c r="H39" s="19">
        <v>7.0000000000000007E-2</v>
      </c>
      <c r="I39" s="19">
        <v>0.02</v>
      </c>
      <c r="J39" s="31">
        <v>15</v>
      </c>
    </row>
    <row r="40" spans="1:10" ht="16.5" thickBot="1" x14ac:dyDescent="0.3">
      <c r="A40" s="84" t="s">
        <v>15</v>
      </c>
      <c r="B40" s="73"/>
      <c r="C40" s="73"/>
      <c r="D40" s="73"/>
      <c r="E40" s="77"/>
      <c r="F40" s="20">
        <f>SUM(F38:F39)</f>
        <v>7</v>
      </c>
      <c r="G40" s="20">
        <f>SUM(G38:G39)</f>
        <v>178.91</v>
      </c>
      <c r="H40" s="20">
        <f t="shared" ref="H40:J40" si="0">SUM(H38:H39)</f>
        <v>2.1599999999999997</v>
      </c>
      <c r="I40" s="20">
        <f t="shared" si="0"/>
        <v>0.35000000000000003</v>
      </c>
      <c r="J40" s="20">
        <f t="shared" si="0"/>
        <v>42.489999999999995</v>
      </c>
    </row>
    <row r="41" spans="1:10" x14ac:dyDescent="0.25">
      <c r="A41" s="85" t="s">
        <v>36</v>
      </c>
      <c r="B41" s="21" t="s">
        <v>16</v>
      </c>
      <c r="C41" s="22" t="s">
        <v>43</v>
      </c>
      <c r="D41" s="22" t="s">
        <v>71</v>
      </c>
      <c r="E41" s="14" t="s">
        <v>72</v>
      </c>
      <c r="F41" s="15">
        <v>6.7</v>
      </c>
      <c r="G41" s="15">
        <v>148.25</v>
      </c>
      <c r="H41" s="15">
        <v>5.49</v>
      </c>
      <c r="I41" s="15">
        <v>5.27</v>
      </c>
      <c r="J41" s="16">
        <v>16.54</v>
      </c>
    </row>
    <row r="42" spans="1:10" x14ac:dyDescent="0.25">
      <c r="A42" s="69"/>
      <c r="B42" s="8" t="s">
        <v>13</v>
      </c>
      <c r="C42" s="6" t="s">
        <v>60</v>
      </c>
      <c r="D42" s="6" t="s">
        <v>61</v>
      </c>
      <c r="E42" s="17" t="s">
        <v>62</v>
      </c>
      <c r="F42" s="7">
        <v>31.87</v>
      </c>
      <c r="G42" s="24">
        <f>408/50*32.5</f>
        <v>265.2</v>
      </c>
      <c r="H42" s="24">
        <f>12.62/50*32.5</f>
        <v>8.2029999999999994</v>
      </c>
      <c r="I42" s="24">
        <f>28.17/50*32.5</f>
        <v>18.310500000000001</v>
      </c>
      <c r="J42" s="25">
        <f>25.89/50*32.5</f>
        <v>16.828500000000002</v>
      </c>
    </row>
    <row r="43" spans="1:10" x14ac:dyDescent="0.25">
      <c r="A43" s="69"/>
      <c r="B43" s="8" t="s">
        <v>18</v>
      </c>
      <c r="C43" s="6" t="s">
        <v>65</v>
      </c>
      <c r="D43" s="6" t="s">
        <v>66</v>
      </c>
      <c r="E43" s="17" t="s">
        <v>67</v>
      </c>
      <c r="F43" s="7">
        <v>4.5</v>
      </c>
      <c r="G43" s="7">
        <v>62</v>
      </c>
      <c r="H43" s="7">
        <v>0.13</v>
      </c>
      <c r="I43" s="7">
        <v>0.02</v>
      </c>
      <c r="J43" s="9">
        <v>15.2</v>
      </c>
    </row>
    <row r="44" spans="1:10" ht="15.75" thickBot="1" x14ac:dyDescent="0.3">
      <c r="A44" s="69"/>
      <c r="B44" s="10" t="s">
        <v>14</v>
      </c>
      <c r="C44" s="11" t="s">
        <v>31</v>
      </c>
      <c r="D44" s="11" t="s">
        <v>32</v>
      </c>
      <c r="E44" s="18">
        <v>50</v>
      </c>
      <c r="F44" s="19">
        <v>1.93</v>
      </c>
      <c r="G44" s="19">
        <f>229.7*0.5</f>
        <v>114.85</v>
      </c>
      <c r="H44" s="12">
        <f>6.7*0.5</f>
        <v>3.35</v>
      </c>
      <c r="I44" s="12">
        <f>1.1*0.5</f>
        <v>0.55000000000000004</v>
      </c>
      <c r="J44" s="13">
        <f>48.3*0.5</f>
        <v>24.15</v>
      </c>
    </row>
    <row r="45" spans="1:10" ht="16.5" thickBot="1" x14ac:dyDescent="0.3">
      <c r="A45" s="66" t="s">
        <v>15</v>
      </c>
      <c r="B45" s="71"/>
      <c r="C45" s="71"/>
      <c r="D45" s="71"/>
      <c r="E45" s="72"/>
      <c r="F45" s="28">
        <f>SUM(F41:F44)</f>
        <v>45</v>
      </c>
      <c r="G45" s="28">
        <f>SUM(G41:G44)</f>
        <v>590.29999999999995</v>
      </c>
      <c r="H45" s="28">
        <f>SUM(H41:H44)</f>
        <v>17.173000000000002</v>
      </c>
      <c r="I45" s="28">
        <f>SUM(I41:I44)</f>
        <v>24.150500000000001</v>
      </c>
      <c r="J45" s="28">
        <f>SUM(J41:J44)</f>
        <v>72.718500000000006</v>
      </c>
    </row>
    <row r="46" spans="1:10" x14ac:dyDescent="0.25">
      <c r="A46" s="69" t="s">
        <v>52</v>
      </c>
      <c r="B46" s="45" t="s">
        <v>30</v>
      </c>
      <c r="C46" s="42" t="s">
        <v>73</v>
      </c>
      <c r="D46" s="95" t="s">
        <v>74</v>
      </c>
      <c r="E46" s="56" t="s">
        <v>75</v>
      </c>
      <c r="F46" s="14">
        <v>27.96</v>
      </c>
      <c r="G46" s="15">
        <f>364*0.2+660*0.03+229.7*0.25</f>
        <v>150.02499999999998</v>
      </c>
      <c r="H46" s="96">
        <f>23.2*0.2+0.8*0.03+6.7*0.25</f>
        <v>6.3389999999999995</v>
      </c>
      <c r="I46" s="96">
        <f>29.5*0.2+72.5*0.03+1.1*0.25</f>
        <v>8.35</v>
      </c>
      <c r="J46" s="97">
        <f>0+1.3*0.03+48.3*0.25</f>
        <v>12.113999999999999</v>
      </c>
    </row>
    <row r="47" spans="1:10" x14ac:dyDescent="0.25">
      <c r="A47" s="69"/>
      <c r="B47" s="8" t="s">
        <v>16</v>
      </c>
      <c r="C47" s="6" t="s">
        <v>43</v>
      </c>
      <c r="D47" s="6" t="s">
        <v>44</v>
      </c>
      <c r="E47" s="17">
        <v>250</v>
      </c>
      <c r="F47" s="7">
        <v>5.83</v>
      </c>
      <c r="G47" s="7">
        <v>148.25</v>
      </c>
      <c r="H47" s="7">
        <v>5.49</v>
      </c>
      <c r="I47" s="7">
        <v>5.27</v>
      </c>
      <c r="J47" s="9">
        <v>16.54</v>
      </c>
    </row>
    <row r="48" spans="1:10" x14ac:dyDescent="0.25">
      <c r="A48" s="69"/>
      <c r="B48" s="8" t="s">
        <v>13</v>
      </c>
      <c r="C48" s="6" t="s">
        <v>60</v>
      </c>
      <c r="D48" s="6" t="s">
        <v>61</v>
      </c>
      <c r="E48" s="17" t="s">
        <v>64</v>
      </c>
      <c r="F48" s="7">
        <v>39.229999999999997</v>
      </c>
      <c r="G48" s="24">
        <f>408/50*40</f>
        <v>326.39999999999998</v>
      </c>
      <c r="H48" s="24">
        <f>12.62/50*40</f>
        <v>10.095999999999998</v>
      </c>
      <c r="I48" s="24">
        <f>28.17/50*40</f>
        <v>22.536000000000001</v>
      </c>
      <c r="J48" s="25">
        <f>25.89/50*40</f>
        <v>20.712000000000003</v>
      </c>
    </row>
    <row r="49" spans="1:10" x14ac:dyDescent="0.25">
      <c r="A49" s="69"/>
      <c r="B49" s="8" t="s">
        <v>18</v>
      </c>
      <c r="C49" s="6" t="s">
        <v>19</v>
      </c>
      <c r="D49" s="6" t="s">
        <v>20</v>
      </c>
      <c r="E49" s="17" t="s">
        <v>33</v>
      </c>
      <c r="F49" s="7">
        <v>2.97</v>
      </c>
      <c r="G49" s="7">
        <v>60</v>
      </c>
      <c r="H49" s="7">
        <v>7.0000000000000007E-2</v>
      </c>
      <c r="I49" s="7">
        <v>0.02</v>
      </c>
      <c r="J49" s="9">
        <v>15</v>
      </c>
    </row>
    <row r="50" spans="1:10" ht="15.75" thickBot="1" x14ac:dyDescent="0.3">
      <c r="A50" s="69"/>
      <c r="B50" s="10" t="s">
        <v>14</v>
      </c>
      <c r="C50" s="11" t="s">
        <v>31</v>
      </c>
      <c r="D50" s="11" t="s">
        <v>32</v>
      </c>
      <c r="E50" s="18">
        <v>26.5</v>
      </c>
      <c r="F50" s="19">
        <v>1.01</v>
      </c>
      <c r="G50" s="19">
        <f>229.7*0.265</f>
        <v>60.8705</v>
      </c>
      <c r="H50" s="12">
        <f>6.7*0.265</f>
        <v>1.7755000000000001</v>
      </c>
      <c r="I50" s="12">
        <f>1.1*0.265</f>
        <v>0.29150000000000004</v>
      </c>
      <c r="J50" s="13">
        <f>48.3*0.265</f>
        <v>12.7995</v>
      </c>
    </row>
    <row r="51" spans="1:10" ht="16.5" thickBot="1" x14ac:dyDescent="0.3">
      <c r="A51" s="66" t="s">
        <v>15</v>
      </c>
      <c r="B51" s="67"/>
      <c r="C51" s="67"/>
      <c r="D51" s="67"/>
      <c r="E51" s="90"/>
      <c r="F51" s="54">
        <f>SUM(F46:F50)</f>
        <v>77</v>
      </c>
      <c r="G51" s="54">
        <f>SUM(G46:G50)</f>
        <v>745.54549999999995</v>
      </c>
      <c r="H51" s="54">
        <f>SUM(H46:H50)</f>
        <v>23.770499999999998</v>
      </c>
      <c r="I51" s="54">
        <f>SUM(I46:I50)</f>
        <v>36.467500000000001</v>
      </c>
      <c r="J51" s="54">
        <f>SUM(J46:J50)</f>
        <v>77.165499999999994</v>
      </c>
    </row>
    <row r="53" spans="1:10" ht="15.75" thickBot="1" x14ac:dyDescent="0.3">
      <c r="A53" s="64" t="s">
        <v>25</v>
      </c>
      <c r="B53" s="64"/>
      <c r="C53" s="64"/>
      <c r="D53" s="64"/>
      <c r="E53" s="64"/>
      <c r="F53" s="64"/>
      <c r="G53" s="64"/>
      <c r="H53" s="64"/>
      <c r="I53" s="64"/>
      <c r="J53" s="64"/>
    </row>
    <row r="54" spans="1:10" ht="15.75" x14ac:dyDescent="0.25">
      <c r="A54" s="23"/>
      <c r="B54" s="23"/>
      <c r="C54" s="63" t="s">
        <v>23</v>
      </c>
      <c r="D54" s="63"/>
      <c r="G54" s="65"/>
      <c r="H54" s="65"/>
      <c r="I54" s="65"/>
      <c r="J54" s="65"/>
    </row>
    <row r="55" spans="1:10" x14ac:dyDescent="0.25">
      <c r="A55" s="1"/>
      <c r="B55" s="1"/>
      <c r="C55" s="1"/>
      <c r="D55" s="1"/>
    </row>
    <row r="56" spans="1:10" x14ac:dyDescent="0.25">
      <c r="A56" s="86" t="s">
        <v>24</v>
      </c>
      <c r="B56" s="86"/>
    </row>
    <row r="57" spans="1:10" x14ac:dyDescent="0.25">
      <c r="A57" s="86" t="s">
        <v>26</v>
      </c>
      <c r="B57" s="86"/>
    </row>
    <row r="58" spans="1:10" x14ac:dyDescent="0.25">
      <c r="A58" s="4"/>
    </row>
  </sheetData>
  <mergeCells count="25">
    <mergeCell ref="A56:B56"/>
    <mergeCell ref="A57:B57"/>
    <mergeCell ref="A3:A9"/>
    <mergeCell ref="A22:A24"/>
    <mergeCell ref="A25:E25"/>
    <mergeCell ref="A16:A20"/>
    <mergeCell ref="A45:E45"/>
    <mergeCell ref="A46:A50"/>
    <mergeCell ref="A51:E51"/>
    <mergeCell ref="B1:C1"/>
    <mergeCell ref="G1:J1"/>
    <mergeCell ref="C54:D54"/>
    <mergeCell ref="A53:J53"/>
    <mergeCell ref="G54:J54"/>
    <mergeCell ref="A10:E10"/>
    <mergeCell ref="A11:A14"/>
    <mergeCell ref="A15:E15"/>
    <mergeCell ref="A21:E21"/>
    <mergeCell ref="A26:A31"/>
    <mergeCell ref="A32:E32"/>
    <mergeCell ref="A33:A36"/>
    <mergeCell ref="A37:E37"/>
    <mergeCell ref="A38:A39"/>
    <mergeCell ref="A40:E40"/>
    <mergeCell ref="A41:A4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2022-12-19T13:17:45Z</dcterms:modified>
</cp:coreProperties>
</file>