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J48" i="1"/>
  <c r="I48" i="1"/>
  <c r="H48" i="1"/>
  <c r="G48" i="1"/>
  <c r="J47" i="1"/>
  <c r="I47" i="1"/>
  <c r="H47" i="1"/>
  <c r="G47" i="1"/>
  <c r="G46" i="1"/>
  <c r="H46" i="1"/>
  <c r="I46" i="1"/>
  <c r="J46" i="1"/>
  <c r="J45" i="1"/>
  <c r="I45" i="1"/>
  <c r="H45" i="1"/>
  <c r="G45" i="1"/>
  <c r="J43" i="1"/>
  <c r="I43" i="1"/>
  <c r="H43" i="1"/>
  <c r="G43" i="1"/>
  <c r="J41" i="1"/>
  <c r="I41" i="1"/>
  <c r="H41" i="1"/>
  <c r="G41" i="1"/>
  <c r="J40" i="1"/>
  <c r="I40" i="1"/>
  <c r="H40" i="1"/>
  <c r="G40" i="1"/>
  <c r="J39" i="1"/>
  <c r="I39" i="1"/>
  <c r="H39" i="1"/>
  <c r="G39" i="1"/>
  <c r="J37" i="1"/>
  <c r="I37" i="1"/>
  <c r="H37" i="1"/>
  <c r="G37" i="1"/>
  <c r="J34" i="1"/>
  <c r="I34" i="1"/>
  <c r="H34" i="1"/>
  <c r="G34" i="1"/>
  <c r="J32" i="1"/>
  <c r="I32" i="1"/>
  <c r="H32" i="1"/>
  <c r="G32" i="1"/>
  <c r="J30" i="1"/>
  <c r="I30" i="1"/>
  <c r="H30" i="1"/>
  <c r="G30" i="1"/>
  <c r="J29" i="1"/>
  <c r="I29" i="1"/>
  <c r="H29" i="1"/>
  <c r="G29" i="1"/>
  <c r="J27" i="1"/>
  <c r="I27" i="1"/>
  <c r="H27" i="1"/>
  <c r="G27" i="1"/>
  <c r="J24" i="1"/>
  <c r="I24" i="1"/>
  <c r="H24" i="1"/>
  <c r="G24" i="1"/>
  <c r="J21" i="1" l="1"/>
  <c r="I21" i="1"/>
  <c r="H21" i="1"/>
  <c r="G21" i="1"/>
  <c r="J18" i="1"/>
  <c r="I18" i="1"/>
  <c r="H18" i="1"/>
  <c r="G18" i="1"/>
  <c r="J15" i="1"/>
  <c r="I15" i="1"/>
  <c r="H15" i="1"/>
  <c r="G15" i="1"/>
  <c r="J13" i="1"/>
  <c r="I13" i="1"/>
  <c r="H13" i="1"/>
  <c r="G13" i="1"/>
  <c r="J11" i="1"/>
  <c r="I11" i="1"/>
  <c r="H11" i="1"/>
  <c r="G11" i="1"/>
  <c r="J10" i="1"/>
  <c r="I10" i="1"/>
  <c r="H10" i="1"/>
  <c r="G10" i="1"/>
  <c r="J17" i="1"/>
  <c r="I17" i="1"/>
  <c r="H17" i="1"/>
  <c r="G17" i="1"/>
  <c r="J7" i="1" l="1"/>
  <c r="I7" i="1"/>
  <c r="H7" i="1"/>
  <c r="G7" i="1"/>
  <c r="J6" i="1"/>
  <c r="I6" i="1"/>
  <c r="H6" i="1"/>
  <c r="G6" i="1"/>
  <c r="J4" i="1"/>
  <c r="I4" i="1"/>
  <c r="H4" i="1"/>
  <c r="G4" i="1"/>
  <c r="J3" i="1"/>
  <c r="I3" i="1"/>
  <c r="H3" i="1"/>
  <c r="G3" i="1"/>
  <c r="F52" i="1" l="1"/>
  <c r="J26" i="1" l="1"/>
  <c r="I26" i="1"/>
  <c r="H26" i="1"/>
  <c r="G26" i="1"/>
  <c r="F22" i="1" l="1"/>
  <c r="J16" i="1" l="1"/>
  <c r="J22" i="1" s="1"/>
  <c r="I16" i="1"/>
  <c r="I22" i="1" s="1"/>
  <c r="H16" i="1"/>
  <c r="H22" i="1" s="1"/>
  <c r="G16" i="1"/>
  <c r="G22" i="1" s="1"/>
  <c r="J52" i="1" l="1"/>
  <c r="I52" i="1"/>
  <c r="H52" i="1"/>
  <c r="G52" i="1"/>
  <c r="F44" i="1"/>
  <c r="J44" i="1"/>
  <c r="I44" i="1"/>
  <c r="H44" i="1"/>
  <c r="G44" i="1"/>
  <c r="F38" i="1"/>
  <c r="J38" i="1"/>
  <c r="I38" i="1"/>
  <c r="H38" i="1"/>
  <c r="G38" i="1"/>
  <c r="G35" i="1"/>
  <c r="F35" i="1"/>
  <c r="J35" i="1"/>
  <c r="I35" i="1"/>
  <c r="H35" i="1"/>
  <c r="F31" i="1"/>
  <c r="J31" i="1"/>
  <c r="H31" i="1"/>
  <c r="G31" i="1"/>
  <c r="I31" i="1" l="1"/>
  <c r="G8" i="1" l="1"/>
  <c r="J9" i="1" l="1"/>
  <c r="I9" i="1"/>
  <c r="H9" i="1"/>
  <c r="G9" i="1"/>
  <c r="F14" i="1" l="1"/>
  <c r="G25" i="1" l="1"/>
  <c r="H25" i="1"/>
  <c r="I25" i="1"/>
  <c r="J25" i="1"/>
  <c r="F25" i="1"/>
  <c r="J14" i="1" l="1"/>
  <c r="H14" i="1"/>
  <c r="G14" i="1"/>
  <c r="I14" i="1" l="1"/>
  <c r="F8" i="1"/>
  <c r="H8" i="1"/>
  <c r="I8" i="1"/>
  <c r="J8" i="1"/>
</calcChain>
</file>

<file path=xl/sharedStrings.xml><?xml version="1.0" encoding="utf-8"?>
<sst xmlns="http://schemas.openxmlformats.org/spreadsheetml/2006/main" count="177" uniqueCount="73">
  <si>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</si>
  <si>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</si>
  <si>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</si>
  <si>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</si>
  <si>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</si>
  <si>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</si>
  <si>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</si>
  <si>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</si>
  <si>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</si>
  <si>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</si>
  <si>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</si>
  <si>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</si>
  <si>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</si>
  <si>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</si>
  <si>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</si>
  <si>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</si>
  <si>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</si>
  <si>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</si>
  <si>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</si>
  <si>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</si>
  <si>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</si>
  <si>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</si>
  <si>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</si>
  <si>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</si>
  <si>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</si>
  <si>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</si>
  <si>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</si>
  <si>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</si>
  <si>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</si>
  <si>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</si>
  <si>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</si>
  <si>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</si>
  <si>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</si>
  <si>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</si>
  <si>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</si>
  <si>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</si>
  <si>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</si>
  <si>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№302-2015г.</t>
  </si>
  <si>
    <t>Каша рассыпчатая гречневая</t>
  </si>
  <si>
    <t>Фрукт</t>
  </si>
  <si>
    <t>№338-2015г.</t>
  </si>
  <si>
    <t>Завтрак 1-4 кл и дети-инвалиды 1 смена</t>
  </si>
  <si>
    <t>№223-2015г.</t>
  </si>
  <si>
    <t>№173-2015г.</t>
  </si>
  <si>
    <t>Каша вязкая молочная из пшённой крупы с маслом</t>
  </si>
  <si>
    <t>250/2</t>
  </si>
  <si>
    <t>№97-2015г.</t>
  </si>
  <si>
    <t>Суп картофельный с рыбными консервами с зеленью</t>
  </si>
  <si>
    <t>Завтрак 5-11 кл с доплатой 70,00 руб. 1 смена</t>
  </si>
  <si>
    <t>Обед 6-7 кл. с доплатой 70,00 руб. 2-я смена</t>
  </si>
  <si>
    <t>Суп картофельный с зеленью</t>
  </si>
  <si>
    <t>200/10</t>
  </si>
  <si>
    <t>№379-2015г.</t>
  </si>
  <si>
    <t>Кофейный напиток с молоком</t>
  </si>
  <si>
    <t>Яблоко свежее (порциями)</t>
  </si>
  <si>
    <t>250/10/2</t>
  </si>
  <si>
    <t>ТТК №6</t>
  </si>
  <si>
    <t>Булочка "Рулетик с маком"</t>
  </si>
  <si>
    <t>Кондитерское изделие</t>
  </si>
  <si>
    <t>ПР</t>
  </si>
  <si>
    <t>200/6</t>
  </si>
  <si>
    <t>Запеканка из творога</t>
  </si>
  <si>
    <t>Фрукт свежий (мандарин)</t>
  </si>
  <si>
    <t>ТТК №48</t>
  </si>
  <si>
    <t>40/40</t>
  </si>
  <si>
    <t>Филе цыплёнка тушёное</t>
  </si>
  <si>
    <t>22/22</t>
  </si>
  <si>
    <t>№71-2015г.</t>
  </si>
  <si>
    <t>Овощи натуральные свежие (огурцы)</t>
  </si>
  <si>
    <t>Напиток</t>
  </si>
  <si>
    <t>Молочный коктейль "Авишка" 2,5%</t>
  </si>
  <si>
    <t>200</t>
  </si>
  <si>
    <t>Печенье "Курабье"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</si>
</sst>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6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9" fillId="0" borderId="3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2" fontId="6" fillId="0" borderId="23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49" fontId="5" fillId="0" borderId="7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2" fontId="6" fillId="0" borderId="28" xfId="0" applyNumberFormat="1" applyFont="1" applyBorder="1" applyAlignment="1">
      <alignment vertical="center" wrapText="1"/>
    </xf>
    <xf numFmtId="2" fontId="6" fillId="0" borderId="34" xfId="0" applyNumberFormat="1" applyFont="1" applyBorder="1" applyAlignment="1">
      <alignment vertical="center" wrapText="1"/>
    </xf>
    <xf numFmtId="2" fontId="6" fillId="0" borderId="35" xfId="0" applyNumberFormat="1" applyFont="1" applyBorder="1" applyAlignment="1">
      <alignment vertical="center" wrapText="1"/>
    </xf>
    <xf numFmtId="2" fontId="6" fillId="0" borderId="33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7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5" fillId="0" borderId="0" xfId="0" applyFont="1"/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7" xfId="8" applyFont="1" applyBorder="1" applyAlignment="1">
      <alignment horizontal="left" vertical="center" wrapText="1"/>
    </xf>
    <xf numFmtId="2" fontId="5" fillId="0" borderId="7" xfId="8" applyNumberFormat="1" applyFont="1" applyBorder="1" applyAlignment="1">
      <alignment horizontal="right" vertical="center" wrapText="1"/>
    </xf>
    <xf numFmtId="2" fontId="5" fillId="0" borderId="8" xfId="8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0" workbookViewId="0">
      <selection activeCell="J51" sqref="J51"/>
    </sheetView>
  </sheetViews>
  <sheetFormatPr defaultRowHeight="15" x14ac:dyDescent="0.25"/>
  <cols>
    <col min="1" max="1" width="22.8554687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7" t="s">
        <v>22</v>
      </c>
      <c r="C1" s="78"/>
      <c r="D1" s="1" t="s">
        <v>1</v>
      </c>
      <c r="E1" s="24"/>
      <c r="F1" s="1" t="s">
        <v>2</v>
      </c>
      <c r="G1" s="79">
        <v>44936</v>
      </c>
      <c r="H1" s="80"/>
      <c r="I1" s="80"/>
      <c r="J1" s="81"/>
      <c r="K1" s="1"/>
      <c r="L1" s="1"/>
    </row>
    <row r="2" spans="1:12" ht="15.75" thickBot="1" x14ac:dyDescent="0.3">
      <c r="A2" s="29" t="s">
        <v>3</v>
      </c>
      <c r="B2" s="3" t="s">
        <v>4</v>
      </c>
      <c r="C2" s="30" t="s">
        <v>5</v>
      </c>
      <c r="D2" s="34" t="s">
        <v>6</v>
      </c>
      <c r="E2" s="34" t="s">
        <v>7</v>
      </c>
      <c r="F2" s="34" t="s">
        <v>8</v>
      </c>
      <c r="G2" s="3" t="s">
        <v>9</v>
      </c>
      <c r="H2" s="3" t="s">
        <v>10</v>
      </c>
      <c r="I2" s="3" t="s">
        <v>11</v>
      </c>
      <c r="J2" s="31" t="s">
        <v>12</v>
      </c>
    </row>
    <row r="3" spans="1:12" ht="15" customHeight="1" x14ac:dyDescent="0.25">
      <c r="A3" s="86" t="s">
        <v>41</v>
      </c>
      <c r="B3" s="19" t="s">
        <v>13</v>
      </c>
      <c r="C3" s="20" t="s">
        <v>43</v>
      </c>
      <c r="D3" s="20" t="s">
        <v>44</v>
      </c>
      <c r="E3" s="12" t="s">
        <v>60</v>
      </c>
      <c r="F3" s="13">
        <v>21.88</v>
      </c>
      <c r="G3" s="13">
        <f>289-66*0.4</f>
        <v>262.60000000000002</v>
      </c>
      <c r="H3" s="13">
        <f>8.2-0.08*0.4</f>
        <v>8.1679999999999993</v>
      </c>
      <c r="I3" s="13">
        <f>10.6-7.25*0.4</f>
        <v>7.6999999999999993</v>
      </c>
      <c r="J3" s="14">
        <f>40.1-0.13*0.4</f>
        <v>40.048000000000002</v>
      </c>
    </row>
    <row r="4" spans="1:12" s="46" customFormat="1" x14ac:dyDescent="0.25">
      <c r="A4" s="86"/>
      <c r="B4" s="6" t="s">
        <v>13</v>
      </c>
      <c r="C4" s="38" t="s">
        <v>42</v>
      </c>
      <c r="D4" s="39" t="s">
        <v>61</v>
      </c>
      <c r="E4" s="15">
        <v>80</v>
      </c>
      <c r="F4" s="5">
        <v>42.34</v>
      </c>
      <c r="G4" s="40">
        <f>282*0.8+260*0</f>
        <v>225.60000000000002</v>
      </c>
      <c r="H4" s="40">
        <f>15.12*0.8+7.5*0</f>
        <v>12.096</v>
      </c>
      <c r="I4" s="40">
        <f>14.1*0.8+0.2*0</f>
        <v>11.280000000000001</v>
      </c>
      <c r="J4" s="41">
        <f>22.5*0.8+56.8*0</f>
        <v>18</v>
      </c>
    </row>
    <row r="5" spans="1:12" s="44" customFormat="1" x14ac:dyDescent="0.25">
      <c r="A5" s="86"/>
      <c r="B5" s="6" t="s">
        <v>18</v>
      </c>
      <c r="C5" s="4" t="s">
        <v>52</v>
      </c>
      <c r="D5" s="4" t="s">
        <v>53</v>
      </c>
      <c r="E5" s="15">
        <v>200</v>
      </c>
      <c r="F5" s="5">
        <v>9.1</v>
      </c>
      <c r="G5" s="5">
        <v>100.6</v>
      </c>
      <c r="H5" s="5">
        <v>3.17</v>
      </c>
      <c r="I5" s="5">
        <v>2.68</v>
      </c>
      <c r="J5" s="7">
        <v>15.95</v>
      </c>
    </row>
    <row r="6" spans="1:12" s="37" customFormat="1" ht="15" customHeight="1" x14ac:dyDescent="0.25">
      <c r="A6" s="86"/>
      <c r="B6" s="6" t="s">
        <v>14</v>
      </c>
      <c r="C6" s="4" t="s">
        <v>31</v>
      </c>
      <c r="D6" s="4" t="s">
        <v>32</v>
      </c>
      <c r="E6" s="15">
        <v>22.5</v>
      </c>
      <c r="F6" s="5">
        <v>0.87</v>
      </c>
      <c r="G6" s="5">
        <f>229.7*0.225</f>
        <v>51.682499999999997</v>
      </c>
      <c r="H6" s="48">
        <f>6.7*0.225</f>
        <v>1.5075000000000001</v>
      </c>
      <c r="I6" s="48">
        <f>1.1*0.225</f>
        <v>0.24750000000000003</v>
      </c>
      <c r="J6" s="49">
        <f>48.3*0.225</f>
        <v>10.8675</v>
      </c>
    </row>
    <row r="7" spans="1:12" s="36" customFormat="1" ht="15.75" thickBot="1" x14ac:dyDescent="0.3">
      <c r="A7" s="86"/>
      <c r="B7" s="8" t="s">
        <v>39</v>
      </c>
      <c r="C7" s="9" t="s">
        <v>40</v>
      </c>
      <c r="D7" s="9" t="s">
        <v>62</v>
      </c>
      <c r="E7" s="42">
        <v>80</v>
      </c>
      <c r="F7" s="10">
        <v>22.96</v>
      </c>
      <c r="G7" s="43">
        <f>38*0.8</f>
        <v>30.400000000000002</v>
      </c>
      <c r="H7" s="43">
        <f>0.8*0.8</f>
        <v>0.64000000000000012</v>
      </c>
      <c r="I7" s="43">
        <f>0.2*0.8</f>
        <v>0.16000000000000003</v>
      </c>
      <c r="J7" s="58">
        <f>7.5*0.8</f>
        <v>6</v>
      </c>
    </row>
    <row r="8" spans="1:12" ht="16.5" thickBot="1" x14ac:dyDescent="0.3">
      <c r="A8" s="60" t="s">
        <v>15</v>
      </c>
      <c r="B8" s="64"/>
      <c r="C8" s="64"/>
      <c r="D8" s="64"/>
      <c r="E8" s="82"/>
      <c r="F8" s="50">
        <f>SUM(F3:F7)</f>
        <v>97.15</v>
      </c>
      <c r="G8" s="50">
        <f>SUM(G3:G7)</f>
        <v>670.88250000000005</v>
      </c>
      <c r="H8" s="51">
        <f>SUM(H3:H7)</f>
        <v>25.581499999999998</v>
      </c>
      <c r="I8" s="52">
        <f>SUM(I3:I7)</f>
        <v>22.067499999999999</v>
      </c>
      <c r="J8" s="53">
        <f>SUM(J3:J7)</f>
        <v>90.865499999999997</v>
      </c>
    </row>
    <row r="9" spans="1:12" x14ac:dyDescent="0.25">
      <c r="A9" s="63" t="s">
        <v>27</v>
      </c>
      <c r="B9" s="19" t="s">
        <v>16</v>
      </c>
      <c r="C9" s="20" t="s">
        <v>46</v>
      </c>
      <c r="D9" s="20" t="s">
        <v>50</v>
      </c>
      <c r="E9" s="12" t="s">
        <v>45</v>
      </c>
      <c r="F9" s="13">
        <v>9.01</v>
      </c>
      <c r="G9" s="13">
        <f>456*0.25+200*0</f>
        <v>114</v>
      </c>
      <c r="H9" s="13">
        <f>9.37*0.25+17.7*0</f>
        <v>2.3424999999999998</v>
      </c>
      <c r="I9" s="13">
        <f>11.31*0.25+14.4*0</f>
        <v>2.8275000000000001</v>
      </c>
      <c r="J9" s="14">
        <f>67.48*0.25+0</f>
        <v>16.87</v>
      </c>
      <c r="K9"/>
    </row>
    <row r="10" spans="1:12" x14ac:dyDescent="0.25">
      <c r="A10" s="63"/>
      <c r="B10" s="6" t="s">
        <v>13</v>
      </c>
      <c r="C10" s="4" t="s">
        <v>63</v>
      </c>
      <c r="D10" s="4" t="s">
        <v>65</v>
      </c>
      <c r="E10" s="15" t="s">
        <v>66</v>
      </c>
      <c r="F10" s="5">
        <v>18.8</v>
      </c>
      <c r="G10" s="22">
        <f>151.2*0.44</f>
        <v>66.527999999999992</v>
      </c>
      <c r="H10" s="22">
        <f>15.6*0.44</f>
        <v>6.8639999999999999</v>
      </c>
      <c r="I10" s="22">
        <f>8.4*0.44</f>
        <v>3.6960000000000002</v>
      </c>
      <c r="J10" s="23">
        <f>3.3*0.44</f>
        <v>1.452</v>
      </c>
      <c r="K10"/>
    </row>
    <row r="11" spans="1:12" s="26" customFormat="1" x14ac:dyDescent="0.25">
      <c r="A11" s="63"/>
      <c r="B11" s="6" t="s">
        <v>17</v>
      </c>
      <c r="C11" s="4" t="s">
        <v>37</v>
      </c>
      <c r="D11" s="4" t="s">
        <v>38</v>
      </c>
      <c r="E11" s="15">
        <v>120</v>
      </c>
      <c r="F11" s="5">
        <v>10.99</v>
      </c>
      <c r="G11" s="40">
        <f>162.5*1.2</f>
        <v>195</v>
      </c>
      <c r="H11" s="40">
        <f>5.73*1.2</f>
        <v>6.8760000000000003</v>
      </c>
      <c r="I11" s="40">
        <f>4.06*1.2</f>
        <v>4.871999999999999</v>
      </c>
      <c r="J11" s="41">
        <f>25.76*1.2</f>
        <v>30.911999999999999</v>
      </c>
      <c r="K11"/>
    </row>
    <row r="12" spans="1:12" s="26" customFormat="1" x14ac:dyDescent="0.25">
      <c r="A12" s="63"/>
      <c r="B12" s="6" t="s">
        <v>18</v>
      </c>
      <c r="C12" s="4" t="s">
        <v>19</v>
      </c>
      <c r="D12" s="4" t="s">
        <v>20</v>
      </c>
      <c r="E12" s="15" t="s">
        <v>33</v>
      </c>
      <c r="F12" s="5">
        <v>3.07</v>
      </c>
      <c r="G12" s="5">
        <v>60</v>
      </c>
      <c r="H12" s="5">
        <v>7.0000000000000007E-2</v>
      </c>
      <c r="I12" s="5">
        <v>0.02</v>
      </c>
      <c r="J12" s="7">
        <v>15</v>
      </c>
    </row>
    <row r="13" spans="1:12" ht="15.75" thickBot="1" x14ac:dyDescent="0.3">
      <c r="A13" s="63"/>
      <c r="B13" s="8" t="s">
        <v>14</v>
      </c>
      <c r="C13" s="9" t="s">
        <v>31</v>
      </c>
      <c r="D13" s="9" t="s">
        <v>32</v>
      </c>
      <c r="E13" s="16">
        <v>11</v>
      </c>
      <c r="F13" s="17">
        <v>0.42</v>
      </c>
      <c r="G13" s="17">
        <f>229.7*0.11</f>
        <v>25.266999999999999</v>
      </c>
      <c r="H13" s="10">
        <f>6.7*0.11</f>
        <v>0.73699999999999999</v>
      </c>
      <c r="I13" s="10">
        <f>1.1*0.11</f>
        <v>0.12100000000000001</v>
      </c>
      <c r="J13" s="11">
        <f>48.3*0.11</f>
        <v>5.3129999999999997</v>
      </c>
    </row>
    <row r="14" spans="1:12" ht="16.5" thickBot="1" x14ac:dyDescent="0.3">
      <c r="A14" s="83" t="s">
        <v>15</v>
      </c>
      <c r="B14" s="61"/>
      <c r="C14" s="61"/>
      <c r="D14" s="61"/>
      <c r="E14" s="62"/>
      <c r="F14" s="25">
        <f>SUM(F9:F13)</f>
        <v>42.290000000000006</v>
      </c>
      <c r="G14" s="25">
        <f t="shared" ref="G14:J14" si="0">SUM(G9:G13)</f>
        <v>460.79500000000002</v>
      </c>
      <c r="H14" s="25">
        <f t="shared" si="0"/>
        <v>16.889499999999998</v>
      </c>
      <c r="I14" s="25">
        <f t="shared" si="0"/>
        <v>11.536499999999998</v>
      </c>
      <c r="J14" s="25">
        <f t="shared" si="0"/>
        <v>69.547000000000011</v>
      </c>
    </row>
    <row r="15" spans="1:12" s="56" customFormat="1" ht="15.75" customHeight="1" x14ac:dyDescent="0.25">
      <c r="A15" s="88" t="s">
        <v>28</v>
      </c>
      <c r="B15" s="19" t="s">
        <v>30</v>
      </c>
      <c r="C15" s="20" t="s">
        <v>67</v>
      </c>
      <c r="D15" s="20" t="s">
        <v>68</v>
      </c>
      <c r="E15" s="12">
        <v>25</v>
      </c>
      <c r="F15" s="13">
        <v>10.31</v>
      </c>
      <c r="G15" s="13">
        <f>6*0.5</f>
        <v>3</v>
      </c>
      <c r="H15" s="13">
        <f>0.35*0.5</f>
        <v>0.17499999999999999</v>
      </c>
      <c r="I15" s="13">
        <f>0.05*0.5</f>
        <v>2.5000000000000001E-2</v>
      </c>
      <c r="J15" s="14">
        <f>0.95*0.5</f>
        <v>0.47499999999999998</v>
      </c>
      <c r="K15"/>
    </row>
    <row r="16" spans="1:12" s="35" customFormat="1" ht="15" customHeight="1" x14ac:dyDescent="0.25">
      <c r="A16" s="89"/>
      <c r="B16" s="6" t="s">
        <v>16</v>
      </c>
      <c r="C16" s="4" t="s">
        <v>46</v>
      </c>
      <c r="D16" s="4" t="s">
        <v>47</v>
      </c>
      <c r="E16" s="15" t="s">
        <v>55</v>
      </c>
      <c r="F16" s="5">
        <v>29.33</v>
      </c>
      <c r="G16" s="5">
        <f>456*0.25+200*0.1</f>
        <v>134</v>
      </c>
      <c r="H16" s="5">
        <f>9.37*0.25+17.7*0.1</f>
        <v>4.1124999999999998</v>
      </c>
      <c r="I16" s="5">
        <f>11.31*0.25+14.4*0.1</f>
        <v>4.2675000000000001</v>
      </c>
      <c r="J16" s="7">
        <f>67.48*0.25</f>
        <v>16.87</v>
      </c>
    </row>
    <row r="17" spans="1:11" s="46" customFormat="1" x14ac:dyDescent="0.25">
      <c r="A17" s="89"/>
      <c r="B17" s="6" t="s">
        <v>13</v>
      </c>
      <c r="C17" s="4" t="s">
        <v>63</v>
      </c>
      <c r="D17" s="4" t="s">
        <v>65</v>
      </c>
      <c r="E17" s="15" t="s">
        <v>64</v>
      </c>
      <c r="F17" s="5">
        <v>34.19</v>
      </c>
      <c r="G17" s="22">
        <f>151.2*0.8</f>
        <v>120.96</v>
      </c>
      <c r="H17" s="22">
        <f>15.6*0.8</f>
        <v>12.48</v>
      </c>
      <c r="I17" s="22">
        <f>8.4*0.8</f>
        <v>6.7200000000000006</v>
      </c>
      <c r="J17" s="23">
        <f>3.3*0.8</f>
        <v>2.64</v>
      </c>
    </row>
    <row r="18" spans="1:11" s="45" customFormat="1" x14ac:dyDescent="0.25">
      <c r="A18" s="89"/>
      <c r="B18" s="6" t="s">
        <v>17</v>
      </c>
      <c r="C18" s="4" t="s">
        <v>37</v>
      </c>
      <c r="D18" s="4" t="s">
        <v>38</v>
      </c>
      <c r="E18" s="15">
        <v>120</v>
      </c>
      <c r="F18" s="5">
        <v>10.99</v>
      </c>
      <c r="G18" s="40">
        <f>162.5*1.2</f>
        <v>195</v>
      </c>
      <c r="H18" s="40">
        <f>5.73*1.2</f>
        <v>6.8760000000000003</v>
      </c>
      <c r="I18" s="40">
        <f>4.06*1.2</f>
        <v>4.871999999999999</v>
      </c>
      <c r="J18" s="41">
        <f>25.76*1.2</f>
        <v>30.911999999999999</v>
      </c>
    </row>
    <row r="19" spans="1:11" s="33" customFormat="1" x14ac:dyDescent="0.25">
      <c r="A19" s="89"/>
      <c r="B19" s="6" t="s">
        <v>18</v>
      </c>
      <c r="C19" s="4" t="s">
        <v>19</v>
      </c>
      <c r="D19" s="4" t="s">
        <v>20</v>
      </c>
      <c r="E19" s="15" t="s">
        <v>33</v>
      </c>
      <c r="F19" s="5">
        <v>3.07</v>
      </c>
      <c r="G19" s="5">
        <v>60</v>
      </c>
      <c r="H19" s="5">
        <v>7.0000000000000007E-2</v>
      </c>
      <c r="I19" s="5">
        <v>0.02</v>
      </c>
      <c r="J19" s="7">
        <v>15</v>
      </c>
      <c r="K19"/>
    </row>
    <row r="20" spans="1:11" s="46" customFormat="1" x14ac:dyDescent="0.25">
      <c r="A20" s="89"/>
      <c r="B20" s="6" t="s">
        <v>21</v>
      </c>
      <c r="C20" s="4" t="s">
        <v>56</v>
      </c>
      <c r="D20" s="4" t="s">
        <v>57</v>
      </c>
      <c r="E20" s="15">
        <v>50</v>
      </c>
      <c r="F20" s="5">
        <v>7.12</v>
      </c>
      <c r="G20" s="5">
        <v>198.6</v>
      </c>
      <c r="H20" s="48">
        <v>4.0999999999999996</v>
      </c>
      <c r="I20" s="48">
        <v>7.7</v>
      </c>
      <c r="J20" s="49">
        <v>28.2</v>
      </c>
    </row>
    <row r="21" spans="1:11" s="32" customFormat="1" ht="15.75" thickBot="1" x14ac:dyDescent="0.3">
      <c r="A21" s="90"/>
      <c r="B21" s="8" t="s">
        <v>14</v>
      </c>
      <c r="C21" s="9" t="s">
        <v>31</v>
      </c>
      <c r="D21" s="9" t="s">
        <v>32</v>
      </c>
      <c r="E21" s="16">
        <v>55</v>
      </c>
      <c r="F21" s="17">
        <v>2.14</v>
      </c>
      <c r="G21" s="17">
        <f>229.7*0.55</f>
        <v>126.33500000000001</v>
      </c>
      <c r="H21" s="10">
        <f>6.7*0.55</f>
        <v>3.6850000000000005</v>
      </c>
      <c r="I21" s="10">
        <f>1.1*0.55</f>
        <v>0.60500000000000009</v>
      </c>
      <c r="J21" s="11">
        <f>48.3*0.55</f>
        <v>26.565000000000001</v>
      </c>
    </row>
    <row r="22" spans="1:11" s="27" customFormat="1" ht="16.5" thickBot="1" x14ac:dyDescent="0.3">
      <c r="A22" s="60" t="s">
        <v>15</v>
      </c>
      <c r="B22" s="73"/>
      <c r="C22" s="73"/>
      <c r="D22" s="73"/>
      <c r="E22" s="85"/>
      <c r="F22" s="18">
        <f>SUM(F15:F21)</f>
        <v>97.149999999999991</v>
      </c>
      <c r="G22" s="18">
        <f t="shared" ref="G22:J22" si="1">SUM(G15:G21)</f>
        <v>837.8950000000001</v>
      </c>
      <c r="H22" s="18">
        <f t="shared" si="1"/>
        <v>31.4985</v>
      </c>
      <c r="I22" s="18">
        <f t="shared" si="1"/>
        <v>24.209499999999998</v>
      </c>
      <c r="J22" s="18">
        <f t="shared" si="1"/>
        <v>120.66200000000001</v>
      </c>
      <c r="K22"/>
    </row>
    <row r="23" spans="1:11" s="32" customFormat="1" x14ac:dyDescent="0.25">
      <c r="A23" s="63" t="s">
        <v>29</v>
      </c>
      <c r="B23" s="91" t="s">
        <v>69</v>
      </c>
      <c r="C23" s="57" t="s">
        <v>59</v>
      </c>
      <c r="D23" s="92" t="s">
        <v>70</v>
      </c>
      <c r="E23" s="47" t="s">
        <v>71</v>
      </c>
      <c r="F23" s="12">
        <v>41.02</v>
      </c>
      <c r="G23" s="13">
        <v>160</v>
      </c>
      <c r="H23" s="93">
        <v>5</v>
      </c>
      <c r="I23" s="93">
        <v>6.2</v>
      </c>
      <c r="J23" s="94">
        <v>22</v>
      </c>
      <c r="K23"/>
    </row>
    <row r="24" spans="1:11" s="55" customFormat="1" ht="15.75" thickBot="1" x14ac:dyDescent="0.3">
      <c r="A24" s="63"/>
      <c r="B24" s="8" t="s">
        <v>14</v>
      </c>
      <c r="C24" s="9" t="s">
        <v>31</v>
      </c>
      <c r="D24" s="9" t="s">
        <v>32</v>
      </c>
      <c r="E24" s="16">
        <v>33</v>
      </c>
      <c r="F24" s="17">
        <v>1.27</v>
      </c>
      <c r="G24" s="17">
        <f>229.7*0.33</f>
        <v>75.801000000000002</v>
      </c>
      <c r="H24" s="10">
        <f>6.7*0.33</f>
        <v>2.2110000000000003</v>
      </c>
      <c r="I24" s="10">
        <f>1.1*0.33</f>
        <v>0.36300000000000004</v>
      </c>
      <c r="J24" s="11">
        <f>48.3*0.33</f>
        <v>15.939</v>
      </c>
      <c r="K24"/>
    </row>
    <row r="25" spans="1:11" ht="16.5" thickBot="1" x14ac:dyDescent="0.3">
      <c r="A25" s="87" t="s">
        <v>15</v>
      </c>
      <c r="B25" s="73"/>
      <c r="C25" s="73"/>
      <c r="D25" s="73"/>
      <c r="E25" s="74"/>
      <c r="F25" s="18">
        <f>SUM(F23:F24)</f>
        <v>42.290000000000006</v>
      </c>
      <c r="G25" s="18">
        <f>SUM(G23:G24)</f>
        <v>235.80099999999999</v>
      </c>
      <c r="H25" s="18">
        <f>SUM(H23:H24)</f>
        <v>7.2110000000000003</v>
      </c>
      <c r="I25" s="18">
        <f>SUM(I23:I24)</f>
        <v>6.5630000000000006</v>
      </c>
      <c r="J25" s="18">
        <f>SUM(J23:J24)</f>
        <v>37.939</v>
      </c>
      <c r="K25"/>
    </row>
    <row r="26" spans="1:11" x14ac:dyDescent="0.25">
      <c r="A26" s="86" t="s">
        <v>48</v>
      </c>
      <c r="B26" s="19" t="s">
        <v>13</v>
      </c>
      <c r="C26" s="20" t="s">
        <v>43</v>
      </c>
      <c r="D26" s="20" t="s">
        <v>44</v>
      </c>
      <c r="E26" s="12" t="s">
        <v>51</v>
      </c>
      <c r="F26" s="13">
        <v>26.9</v>
      </c>
      <c r="G26" s="13">
        <f>289-66*0</f>
        <v>289</v>
      </c>
      <c r="H26" s="13">
        <f>8.2-0.08*0</f>
        <v>8.1999999999999993</v>
      </c>
      <c r="I26" s="13">
        <f>10.6-7.25*0</f>
        <v>10.6</v>
      </c>
      <c r="J26" s="14">
        <f>40.1-0.13*0</f>
        <v>40.1</v>
      </c>
    </row>
    <row r="27" spans="1:11" x14ac:dyDescent="0.25">
      <c r="A27" s="86"/>
      <c r="B27" s="6" t="s">
        <v>13</v>
      </c>
      <c r="C27" s="38" t="s">
        <v>42</v>
      </c>
      <c r="D27" s="39" t="s">
        <v>61</v>
      </c>
      <c r="E27" s="15">
        <v>50</v>
      </c>
      <c r="F27" s="5">
        <v>26.46</v>
      </c>
      <c r="G27" s="40">
        <f>282*0.5+260*0</f>
        <v>141</v>
      </c>
      <c r="H27" s="40">
        <f>15.12*0.5+7.5*0</f>
        <v>7.56</v>
      </c>
      <c r="I27" s="40">
        <f>14.1*0.5+0.2*0</f>
        <v>7.05</v>
      </c>
      <c r="J27" s="41">
        <f>22.5*0.5+56.8*0</f>
        <v>11.25</v>
      </c>
    </row>
    <row r="28" spans="1:11" ht="15.75" customHeight="1" x14ac:dyDescent="0.25">
      <c r="A28" s="86"/>
      <c r="B28" s="6" t="s">
        <v>18</v>
      </c>
      <c r="C28" s="4" t="s">
        <v>52</v>
      </c>
      <c r="D28" s="4" t="s">
        <v>53</v>
      </c>
      <c r="E28" s="15">
        <v>200</v>
      </c>
      <c r="F28" s="5">
        <v>9.1</v>
      </c>
      <c r="G28" s="5">
        <v>100.6</v>
      </c>
      <c r="H28" s="5">
        <v>3.17</v>
      </c>
      <c r="I28" s="5">
        <v>2.68</v>
      </c>
      <c r="J28" s="7">
        <v>15.95</v>
      </c>
    </row>
    <row r="29" spans="1:11" x14ac:dyDescent="0.25">
      <c r="A29" s="86"/>
      <c r="B29" s="6" t="s">
        <v>14</v>
      </c>
      <c r="C29" s="4" t="s">
        <v>31</v>
      </c>
      <c r="D29" s="4" t="s">
        <v>32</v>
      </c>
      <c r="E29" s="15">
        <v>4</v>
      </c>
      <c r="F29" s="5">
        <v>0.14000000000000001</v>
      </c>
      <c r="G29" s="5">
        <f>229.7*0.04</f>
        <v>9.1880000000000006</v>
      </c>
      <c r="H29" s="48">
        <f>6.7*0.04</f>
        <v>0.26800000000000002</v>
      </c>
      <c r="I29" s="48">
        <f>1.1*0.04</f>
        <v>4.4000000000000004E-2</v>
      </c>
      <c r="J29" s="49">
        <f>48.3*0.04</f>
        <v>1.9319999999999999</v>
      </c>
    </row>
    <row r="30" spans="1:11" ht="15" customHeight="1" thickBot="1" x14ac:dyDescent="0.3">
      <c r="A30" s="86"/>
      <c r="B30" s="8" t="s">
        <v>39</v>
      </c>
      <c r="C30" s="9" t="s">
        <v>40</v>
      </c>
      <c r="D30" s="9" t="s">
        <v>54</v>
      </c>
      <c r="E30" s="42">
        <v>120</v>
      </c>
      <c r="F30" s="10">
        <v>14.4</v>
      </c>
      <c r="G30" s="43">
        <f>47*1.2</f>
        <v>56.4</v>
      </c>
      <c r="H30" s="17">
        <f>0.4*1.2</f>
        <v>0.48</v>
      </c>
      <c r="I30" s="17">
        <f>0.4*1.2</f>
        <v>0.48</v>
      </c>
      <c r="J30" s="28">
        <f>9.8*1.2</f>
        <v>11.76</v>
      </c>
    </row>
    <row r="31" spans="1:11" ht="15" customHeight="1" thickBot="1" x14ac:dyDescent="0.3">
      <c r="A31" s="84" t="s">
        <v>15</v>
      </c>
      <c r="B31" s="73"/>
      <c r="C31" s="73"/>
      <c r="D31" s="73"/>
      <c r="E31" s="74"/>
      <c r="F31" s="18">
        <f>SUM(F26:F30)</f>
        <v>77</v>
      </c>
      <c r="G31" s="18">
        <f>SUM(G26:G30)</f>
        <v>596.18799999999999</v>
      </c>
      <c r="H31" s="18">
        <f>SUM(H26:H30)</f>
        <v>19.678000000000001</v>
      </c>
      <c r="I31" s="18">
        <f>SUM(I26:I30)</f>
        <v>20.853999999999999</v>
      </c>
      <c r="J31" s="18">
        <f>SUM(J26:J30)</f>
        <v>80.992000000000004</v>
      </c>
    </row>
    <row r="32" spans="1:11" x14ac:dyDescent="0.25">
      <c r="A32" s="69" t="s">
        <v>34</v>
      </c>
      <c r="B32" s="19" t="s">
        <v>13</v>
      </c>
      <c r="C32" s="20" t="s">
        <v>43</v>
      </c>
      <c r="D32" s="20" t="s">
        <v>44</v>
      </c>
      <c r="E32" s="12" t="s">
        <v>60</v>
      </c>
      <c r="F32" s="13">
        <v>21.88</v>
      </c>
      <c r="G32" s="13">
        <f>289-66*0.4</f>
        <v>262.60000000000002</v>
      </c>
      <c r="H32" s="13">
        <f>8.2-0.08*0.4</f>
        <v>8.1679999999999993</v>
      </c>
      <c r="I32" s="13">
        <f>10.6-7.25*0.4</f>
        <v>7.6999999999999993</v>
      </c>
      <c r="J32" s="14">
        <f>40.1-0.13*0.4</f>
        <v>40.048000000000002</v>
      </c>
    </row>
    <row r="33" spans="1:10" x14ac:dyDescent="0.25">
      <c r="A33" s="70"/>
      <c r="B33" s="6" t="s">
        <v>18</v>
      </c>
      <c r="C33" s="4" t="s">
        <v>19</v>
      </c>
      <c r="D33" s="4" t="s">
        <v>20</v>
      </c>
      <c r="E33" s="15" t="s">
        <v>33</v>
      </c>
      <c r="F33" s="5">
        <v>3.07</v>
      </c>
      <c r="G33" s="5">
        <v>60</v>
      </c>
      <c r="H33" s="5">
        <v>7.0000000000000007E-2</v>
      </c>
      <c r="I33" s="5">
        <v>0.02</v>
      </c>
      <c r="J33" s="7">
        <v>15</v>
      </c>
    </row>
    <row r="34" spans="1:10" ht="15.75" thickBot="1" x14ac:dyDescent="0.3">
      <c r="A34" s="71"/>
      <c r="B34" s="8" t="s">
        <v>14</v>
      </c>
      <c r="C34" s="9" t="s">
        <v>31</v>
      </c>
      <c r="D34" s="9" t="s">
        <v>32</v>
      </c>
      <c r="E34" s="16">
        <v>53</v>
      </c>
      <c r="F34" s="17">
        <v>2.0499999999999998</v>
      </c>
      <c r="G34" s="17">
        <f>229.7*0.53</f>
        <v>121.741</v>
      </c>
      <c r="H34" s="10">
        <f>6.7*0.53</f>
        <v>3.5510000000000002</v>
      </c>
      <c r="I34" s="10">
        <f>1.1*0.53</f>
        <v>0.58300000000000007</v>
      </c>
      <c r="J34" s="11">
        <f>48.3*0.53</f>
        <v>25.599</v>
      </c>
    </row>
    <row r="35" spans="1:10" ht="16.5" thickBot="1" x14ac:dyDescent="0.3">
      <c r="A35" s="72" t="s">
        <v>15</v>
      </c>
      <c r="B35" s="73"/>
      <c r="C35" s="73"/>
      <c r="D35" s="73"/>
      <c r="E35" s="74"/>
      <c r="F35" s="18">
        <f>SUM(F32:F34)</f>
        <v>27</v>
      </c>
      <c r="G35" s="18">
        <f>SUM(G32:G34)</f>
        <v>444.34100000000001</v>
      </c>
      <c r="H35" s="18">
        <f>SUM(H32:H34)</f>
        <v>11.789</v>
      </c>
      <c r="I35" s="18">
        <f>SUM(I32:I34)</f>
        <v>8.302999999999999</v>
      </c>
      <c r="J35" s="18">
        <f>SUM(J32:J34)</f>
        <v>80.647000000000006</v>
      </c>
    </row>
    <row r="36" spans="1:10" ht="31.5" customHeight="1" x14ac:dyDescent="0.25">
      <c r="A36" s="69" t="s">
        <v>35</v>
      </c>
      <c r="B36" s="19" t="s">
        <v>18</v>
      </c>
      <c r="C36" s="20" t="s">
        <v>19</v>
      </c>
      <c r="D36" s="20" t="s">
        <v>20</v>
      </c>
      <c r="E36" s="12" t="s">
        <v>33</v>
      </c>
      <c r="F36" s="13">
        <v>3.07</v>
      </c>
      <c r="G36" s="13">
        <v>60</v>
      </c>
      <c r="H36" s="13">
        <v>7.0000000000000007E-2</v>
      </c>
      <c r="I36" s="13">
        <v>0.02</v>
      </c>
      <c r="J36" s="14">
        <v>15</v>
      </c>
    </row>
    <row r="37" spans="1:10" ht="30.75" customHeight="1" thickBot="1" x14ac:dyDescent="0.3">
      <c r="A37" s="71"/>
      <c r="B37" s="8" t="s">
        <v>58</v>
      </c>
      <c r="C37" s="9" t="s">
        <v>59</v>
      </c>
      <c r="D37" s="9" t="s">
        <v>72</v>
      </c>
      <c r="E37" s="16">
        <v>14</v>
      </c>
      <c r="F37" s="17">
        <v>3.93</v>
      </c>
      <c r="G37" s="17">
        <f>470*0.14</f>
        <v>65.800000000000011</v>
      </c>
      <c r="H37" s="17">
        <f>8*0.14</f>
        <v>1.1200000000000001</v>
      </c>
      <c r="I37" s="17">
        <f>16*0.14</f>
        <v>2.2400000000000002</v>
      </c>
      <c r="J37" s="28">
        <f>71*0.14</f>
        <v>9.9400000000000013</v>
      </c>
    </row>
    <row r="38" spans="1:10" ht="16.5" thickBot="1" x14ac:dyDescent="0.3">
      <c r="A38" s="75" t="s">
        <v>15</v>
      </c>
      <c r="B38" s="73"/>
      <c r="C38" s="73"/>
      <c r="D38" s="73"/>
      <c r="E38" s="74"/>
      <c r="F38" s="18">
        <f>SUM(F36:F37)</f>
        <v>7</v>
      </c>
      <c r="G38" s="18">
        <f>SUM(G36:G37)</f>
        <v>125.80000000000001</v>
      </c>
      <c r="H38" s="18">
        <f t="shared" ref="H38:J38" si="2">SUM(H36:H37)</f>
        <v>1.1900000000000002</v>
      </c>
      <c r="I38" s="18">
        <f t="shared" si="2"/>
        <v>2.2600000000000002</v>
      </c>
      <c r="J38" s="18">
        <f t="shared" si="2"/>
        <v>24.94</v>
      </c>
    </row>
    <row r="39" spans="1:10" x14ac:dyDescent="0.25">
      <c r="A39" s="76" t="s">
        <v>36</v>
      </c>
      <c r="B39" s="19" t="s">
        <v>16</v>
      </c>
      <c r="C39" s="20" t="s">
        <v>46</v>
      </c>
      <c r="D39" s="20" t="s">
        <v>50</v>
      </c>
      <c r="E39" s="12" t="s">
        <v>45</v>
      </c>
      <c r="F39" s="13">
        <v>9.01</v>
      </c>
      <c r="G39" s="13">
        <f>456*0.25+200*0</f>
        <v>114</v>
      </c>
      <c r="H39" s="13">
        <f>9.37*0.25+17.7*0</f>
        <v>2.3424999999999998</v>
      </c>
      <c r="I39" s="13">
        <f>11.31*0.25+14.4*0</f>
        <v>2.8275000000000001</v>
      </c>
      <c r="J39" s="14">
        <f>67.48*0.25+0</f>
        <v>16.87</v>
      </c>
    </row>
    <row r="40" spans="1:10" x14ac:dyDescent="0.25">
      <c r="A40" s="63"/>
      <c r="B40" s="6" t="s">
        <v>13</v>
      </c>
      <c r="C40" s="4" t="s">
        <v>63</v>
      </c>
      <c r="D40" s="4" t="s">
        <v>65</v>
      </c>
      <c r="E40" s="15" t="s">
        <v>66</v>
      </c>
      <c r="F40" s="5">
        <v>18.8</v>
      </c>
      <c r="G40" s="22">
        <f>151.2*0.44</f>
        <v>66.527999999999992</v>
      </c>
      <c r="H40" s="22">
        <f>15.6*0.44</f>
        <v>6.8639999999999999</v>
      </c>
      <c r="I40" s="22">
        <f>8.4*0.44</f>
        <v>3.6960000000000002</v>
      </c>
      <c r="J40" s="23">
        <f>3.3*0.44</f>
        <v>1.452</v>
      </c>
    </row>
    <row r="41" spans="1:10" x14ac:dyDescent="0.25">
      <c r="A41" s="63"/>
      <c r="B41" s="6" t="s">
        <v>17</v>
      </c>
      <c r="C41" s="4" t="s">
        <v>37</v>
      </c>
      <c r="D41" s="4" t="s">
        <v>38</v>
      </c>
      <c r="E41" s="15">
        <v>140</v>
      </c>
      <c r="F41" s="5">
        <v>12.82</v>
      </c>
      <c r="G41" s="40">
        <f>162.5*1.4</f>
        <v>227.49999999999997</v>
      </c>
      <c r="H41" s="40">
        <f>5.73*1.4</f>
        <v>8.0220000000000002</v>
      </c>
      <c r="I41" s="40">
        <f>4.06*1.4</f>
        <v>5.6839999999999993</v>
      </c>
      <c r="J41" s="41">
        <f>25.76*1.4</f>
        <v>36.064</v>
      </c>
    </row>
    <row r="42" spans="1:10" x14ac:dyDescent="0.25">
      <c r="A42" s="63"/>
      <c r="B42" s="6" t="s">
        <v>18</v>
      </c>
      <c r="C42" s="4" t="s">
        <v>19</v>
      </c>
      <c r="D42" s="4" t="s">
        <v>20</v>
      </c>
      <c r="E42" s="15" t="s">
        <v>33</v>
      </c>
      <c r="F42" s="5">
        <v>3.07</v>
      </c>
      <c r="G42" s="5">
        <v>60</v>
      </c>
      <c r="H42" s="5">
        <v>7.0000000000000007E-2</v>
      </c>
      <c r="I42" s="5">
        <v>0.02</v>
      </c>
      <c r="J42" s="7">
        <v>15</v>
      </c>
    </row>
    <row r="43" spans="1:10" ht="15.75" thickBot="1" x14ac:dyDescent="0.3">
      <c r="A43" s="63"/>
      <c r="B43" s="8" t="s">
        <v>14</v>
      </c>
      <c r="C43" s="9" t="s">
        <v>31</v>
      </c>
      <c r="D43" s="9" t="s">
        <v>32</v>
      </c>
      <c r="E43" s="16">
        <v>33.5</v>
      </c>
      <c r="F43" s="17">
        <v>1.3</v>
      </c>
      <c r="G43" s="17">
        <f>229.7*0.335</f>
        <v>76.9495</v>
      </c>
      <c r="H43" s="10">
        <f>6.7*0.335</f>
        <v>2.2445000000000004</v>
      </c>
      <c r="I43" s="10">
        <f>1.1*0.335</f>
        <v>0.36850000000000005</v>
      </c>
      <c r="J43" s="11">
        <f>48.3*0.335</f>
        <v>16.180499999999999</v>
      </c>
    </row>
    <row r="44" spans="1:10" ht="16.5" thickBot="1" x14ac:dyDescent="0.3">
      <c r="A44" s="60" t="s">
        <v>15</v>
      </c>
      <c r="B44" s="61"/>
      <c r="C44" s="61"/>
      <c r="D44" s="61"/>
      <c r="E44" s="62"/>
      <c r="F44" s="25">
        <f>SUM(F39:F43)</f>
        <v>45</v>
      </c>
      <c r="G44" s="25">
        <f>SUM(G39:G43)</f>
        <v>544.97749999999996</v>
      </c>
      <c r="H44" s="25">
        <f>SUM(H39:H43)</f>
        <v>19.542999999999999</v>
      </c>
      <c r="I44" s="25">
        <f>SUM(I39:I43)</f>
        <v>12.596</v>
      </c>
      <c r="J44" s="25">
        <f>SUM(J39:J43)</f>
        <v>85.566499999999991</v>
      </c>
    </row>
    <row r="45" spans="1:10" ht="16.5" customHeight="1" x14ac:dyDescent="0.25">
      <c r="A45" s="63" t="s">
        <v>49</v>
      </c>
      <c r="B45" s="19" t="s">
        <v>30</v>
      </c>
      <c r="C45" s="20" t="s">
        <v>67</v>
      </c>
      <c r="D45" s="20" t="s">
        <v>68</v>
      </c>
      <c r="E45" s="12">
        <v>25</v>
      </c>
      <c r="F45" s="13">
        <v>10.31</v>
      </c>
      <c r="G45" s="13">
        <f>6*0.5</f>
        <v>3</v>
      </c>
      <c r="H45" s="13">
        <f>0.35*0.5</f>
        <v>0.17499999999999999</v>
      </c>
      <c r="I45" s="13">
        <f>0.05*0.5</f>
        <v>2.5000000000000001E-2</v>
      </c>
      <c r="J45" s="14">
        <f>0.95*0.5</f>
        <v>0.47499999999999998</v>
      </c>
    </row>
    <row r="46" spans="1:10" s="56" customFormat="1" x14ac:dyDescent="0.25">
      <c r="A46" s="63"/>
      <c r="B46" s="6" t="s">
        <v>16</v>
      </c>
      <c r="C46" s="4" t="s">
        <v>46</v>
      </c>
      <c r="D46" s="4" t="s">
        <v>50</v>
      </c>
      <c r="E46" s="15" t="s">
        <v>45</v>
      </c>
      <c r="F46" s="5">
        <v>9.01</v>
      </c>
      <c r="G46" s="5">
        <f>456*0.25+200*0</f>
        <v>114</v>
      </c>
      <c r="H46" s="5">
        <f>9.37*0.25+17.7*0</f>
        <v>2.3424999999999998</v>
      </c>
      <c r="I46" s="5">
        <f>11.31*0.25+14.4*0</f>
        <v>2.8275000000000001</v>
      </c>
      <c r="J46" s="7">
        <f>67.48*0.25+0</f>
        <v>16.87</v>
      </c>
    </row>
    <row r="47" spans="1:10" x14ac:dyDescent="0.25">
      <c r="A47" s="63"/>
      <c r="B47" s="6" t="s">
        <v>13</v>
      </c>
      <c r="C47" s="4" t="s">
        <v>63</v>
      </c>
      <c r="D47" s="4" t="s">
        <v>65</v>
      </c>
      <c r="E47" s="15" t="s">
        <v>64</v>
      </c>
      <c r="F47" s="5">
        <v>34.19</v>
      </c>
      <c r="G47" s="22">
        <f>151.2*0.8</f>
        <v>120.96</v>
      </c>
      <c r="H47" s="22">
        <f>15.6*0.8</f>
        <v>12.48</v>
      </c>
      <c r="I47" s="22">
        <f>8.4*0.8</f>
        <v>6.7200000000000006</v>
      </c>
      <c r="J47" s="23">
        <f>3.3*0.8</f>
        <v>2.64</v>
      </c>
    </row>
    <row r="48" spans="1:10" x14ac:dyDescent="0.25">
      <c r="A48" s="63"/>
      <c r="B48" s="6" t="s">
        <v>17</v>
      </c>
      <c r="C48" s="4" t="s">
        <v>37</v>
      </c>
      <c r="D48" s="4" t="s">
        <v>38</v>
      </c>
      <c r="E48" s="15">
        <v>120</v>
      </c>
      <c r="F48" s="5">
        <v>10.99</v>
      </c>
      <c r="G48" s="40">
        <f>162.5*1.2</f>
        <v>195</v>
      </c>
      <c r="H48" s="40">
        <f>5.73*1.2</f>
        <v>6.8760000000000003</v>
      </c>
      <c r="I48" s="40">
        <f>4.06*1.2</f>
        <v>4.871999999999999</v>
      </c>
      <c r="J48" s="41">
        <f>25.76*1.2</f>
        <v>30.911999999999999</v>
      </c>
    </row>
    <row r="49" spans="1:10" x14ac:dyDescent="0.25">
      <c r="A49" s="63"/>
      <c r="B49" s="6" t="s">
        <v>18</v>
      </c>
      <c r="C49" s="4" t="s">
        <v>19</v>
      </c>
      <c r="D49" s="4" t="s">
        <v>20</v>
      </c>
      <c r="E49" s="15" t="s">
        <v>33</v>
      </c>
      <c r="F49" s="5">
        <v>3.07</v>
      </c>
      <c r="G49" s="5">
        <v>60</v>
      </c>
      <c r="H49" s="5">
        <v>7.0000000000000007E-2</v>
      </c>
      <c r="I49" s="5">
        <v>0.02</v>
      </c>
      <c r="J49" s="7">
        <v>15</v>
      </c>
    </row>
    <row r="50" spans="1:10" x14ac:dyDescent="0.25">
      <c r="A50" s="63"/>
      <c r="B50" s="6" t="s">
        <v>21</v>
      </c>
      <c r="C50" s="4" t="s">
        <v>56</v>
      </c>
      <c r="D50" s="4" t="s">
        <v>57</v>
      </c>
      <c r="E50" s="15">
        <v>50</v>
      </c>
      <c r="F50" s="5">
        <v>7.12</v>
      </c>
      <c r="G50" s="5">
        <v>198.6</v>
      </c>
      <c r="H50" s="48">
        <v>4.0999999999999996</v>
      </c>
      <c r="I50" s="48">
        <v>7.7</v>
      </c>
      <c r="J50" s="49">
        <v>28.2</v>
      </c>
    </row>
    <row r="51" spans="1:10" ht="15.75" thickBot="1" x14ac:dyDescent="0.3">
      <c r="A51" s="63"/>
      <c r="B51" s="8" t="s">
        <v>14</v>
      </c>
      <c r="C51" s="9" t="s">
        <v>31</v>
      </c>
      <c r="D51" s="9" t="s">
        <v>32</v>
      </c>
      <c r="E51" s="16">
        <v>60</v>
      </c>
      <c r="F51" s="17">
        <v>2.31</v>
      </c>
      <c r="G51" s="17">
        <f>229.7*0.6</f>
        <v>137.82</v>
      </c>
      <c r="H51" s="10">
        <f>6.7*0.6</f>
        <v>4.0199999999999996</v>
      </c>
      <c r="I51" s="10">
        <f>1.1*0.6</f>
        <v>0.66</v>
      </c>
      <c r="J51" s="11">
        <f>48.3*0.6</f>
        <v>28.979999999999997</v>
      </c>
    </row>
    <row r="52" spans="1:10" ht="16.5" thickBot="1" x14ac:dyDescent="0.3">
      <c r="A52" s="60" t="s">
        <v>15</v>
      </c>
      <c r="B52" s="64"/>
      <c r="C52" s="64"/>
      <c r="D52" s="64"/>
      <c r="E52" s="65"/>
      <c r="F52" s="52">
        <f>SUM(F45:F51)</f>
        <v>77</v>
      </c>
      <c r="G52" s="52">
        <f>SUM(G45:G51)</f>
        <v>829.37999999999988</v>
      </c>
      <c r="H52" s="52">
        <f>SUM(H45:H51)</f>
        <v>30.063500000000001</v>
      </c>
      <c r="I52" s="52">
        <f>SUM(I45:I51)</f>
        <v>22.8245</v>
      </c>
      <c r="J52" s="52">
        <f>SUM(J45:J51)</f>
        <v>123.077</v>
      </c>
    </row>
    <row r="53" spans="1:10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15.75" thickBot="1" x14ac:dyDescent="0.3">
      <c r="A54" s="66" t="s">
        <v>25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5.75" x14ac:dyDescent="0.25">
      <c r="A55" s="21"/>
      <c r="B55" s="21"/>
      <c r="C55" s="67" t="s">
        <v>23</v>
      </c>
      <c r="D55" s="67"/>
      <c r="E55" s="54"/>
      <c r="F55" s="54"/>
      <c r="G55" s="68"/>
      <c r="H55" s="68"/>
      <c r="I55" s="68"/>
      <c r="J55" s="68"/>
    </row>
    <row r="56" spans="1:10" x14ac:dyDescent="0.25">
      <c r="A56" s="1"/>
      <c r="B56" s="1"/>
      <c r="C56" s="1"/>
      <c r="D56" s="1"/>
      <c r="E56" s="54"/>
      <c r="F56" s="54"/>
      <c r="G56" s="54"/>
      <c r="H56" s="54"/>
      <c r="I56" s="54"/>
      <c r="J56" s="54"/>
    </row>
    <row r="57" spans="1:10" x14ac:dyDescent="0.25">
      <c r="A57" s="59" t="s">
        <v>24</v>
      </c>
      <c r="B57" s="59"/>
      <c r="C57" s="54"/>
      <c r="D57" s="54"/>
      <c r="E57" s="54"/>
      <c r="F57" s="54"/>
      <c r="G57" s="54"/>
      <c r="H57" s="54"/>
      <c r="I57" s="54"/>
      <c r="J57" s="54"/>
    </row>
    <row r="58" spans="1:10" x14ac:dyDescent="0.25">
      <c r="A58" s="59" t="s">
        <v>26</v>
      </c>
      <c r="B58" s="59"/>
      <c r="C58" s="54"/>
      <c r="D58" s="54"/>
      <c r="E58" s="54"/>
      <c r="F58" s="54"/>
      <c r="G58" s="54"/>
      <c r="H58" s="54"/>
      <c r="I58" s="54"/>
      <c r="J58" s="54"/>
    </row>
  </sheetData>
  <mergeCells count="25">
    <mergeCell ref="A31:E31"/>
    <mergeCell ref="A22:E22"/>
    <mergeCell ref="A26:A30"/>
    <mergeCell ref="A3:A7"/>
    <mergeCell ref="A23:A24"/>
    <mergeCell ref="A25:E25"/>
    <mergeCell ref="A15:A21"/>
    <mergeCell ref="B1:C1"/>
    <mergeCell ref="G1:J1"/>
    <mergeCell ref="A8:E8"/>
    <mergeCell ref="A9:A13"/>
    <mergeCell ref="A14:E14"/>
    <mergeCell ref="A32:A34"/>
    <mergeCell ref="A35:E35"/>
    <mergeCell ref="A36:A37"/>
    <mergeCell ref="A38:E38"/>
    <mergeCell ref="A39:A43"/>
    <mergeCell ref="A57:B57"/>
    <mergeCell ref="A58:B58"/>
    <mergeCell ref="A44:E44"/>
    <mergeCell ref="A45:A51"/>
    <mergeCell ref="A52:E52"/>
    <mergeCell ref="A54:J54"/>
    <mergeCell ref="C55:D55"/>
    <mergeCell ref="G55:J5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2023-01-09T11:24:20Z</dcterms:modified>
</cp:coreProperties>
</file>