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610" windowHeight="11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  <c r="J20" i="1"/>
  <c r="I20" i="1"/>
  <c r="H20" i="1"/>
  <c r="G20" i="1"/>
  <c r="J52" i="1"/>
  <c r="I52" i="1"/>
  <c r="H52" i="1"/>
  <c r="G52" i="1"/>
  <c r="J46" i="1"/>
  <c r="I46" i="1"/>
  <c r="H46" i="1"/>
  <c r="G46" i="1"/>
  <c r="J50" i="1"/>
  <c r="I50" i="1"/>
  <c r="H50" i="1"/>
  <c r="G50" i="1"/>
  <c r="J51" i="1" l="1"/>
  <c r="I51" i="1"/>
  <c r="H51" i="1"/>
  <c r="G51" i="1"/>
  <c r="J49" i="1"/>
  <c r="I49" i="1"/>
  <c r="H49" i="1"/>
  <c r="G49" i="1"/>
  <c r="J48" i="1"/>
  <c r="I48" i="1"/>
  <c r="H48" i="1"/>
  <c r="G48" i="1"/>
  <c r="J44" i="1" l="1"/>
  <c r="I44" i="1"/>
  <c r="H44" i="1"/>
  <c r="G44" i="1"/>
  <c r="J42" i="1"/>
  <c r="I42" i="1"/>
  <c r="H42" i="1"/>
  <c r="G42" i="1"/>
  <c r="J41" i="1"/>
  <c r="I41" i="1"/>
  <c r="H41" i="1"/>
  <c r="G41" i="1"/>
  <c r="J38" i="1"/>
  <c r="I38" i="1"/>
  <c r="H38" i="1"/>
  <c r="G38" i="1"/>
  <c r="J35" i="1"/>
  <c r="I35" i="1"/>
  <c r="H35" i="1"/>
  <c r="G35" i="1"/>
  <c r="J33" i="1"/>
  <c r="I33" i="1"/>
  <c r="H33" i="1"/>
  <c r="G33" i="1"/>
  <c r="J32" i="1"/>
  <c r="I32" i="1"/>
  <c r="H32" i="1"/>
  <c r="G32" i="1"/>
  <c r="J27" i="1" l="1"/>
  <c r="H27" i="1"/>
  <c r="I27" i="1"/>
  <c r="J30" i="1"/>
  <c r="I30" i="1"/>
  <c r="H30" i="1"/>
  <c r="G30" i="1"/>
  <c r="J24" i="1"/>
  <c r="I24" i="1"/>
  <c r="H24" i="1"/>
  <c r="G24" i="1"/>
  <c r="J17" i="1"/>
  <c r="I17" i="1"/>
  <c r="H17" i="1"/>
  <c r="G17" i="1"/>
  <c r="J16" i="1"/>
  <c r="I16" i="1"/>
  <c r="H16" i="1"/>
  <c r="G16" i="1"/>
  <c r="J14" i="1"/>
  <c r="I14" i="1"/>
  <c r="H14" i="1"/>
  <c r="G14" i="1"/>
  <c r="J12" i="1" l="1"/>
  <c r="I12" i="1"/>
  <c r="H12" i="1"/>
  <c r="G12" i="1"/>
  <c r="J10" i="1"/>
  <c r="I10" i="1"/>
  <c r="H10" i="1"/>
  <c r="G10" i="1"/>
  <c r="J9" i="1"/>
  <c r="I9" i="1"/>
  <c r="H9" i="1"/>
  <c r="G9" i="1"/>
  <c r="J5" i="1" l="1"/>
  <c r="G5" i="1"/>
  <c r="I5" i="1"/>
  <c r="H5" i="1"/>
  <c r="J6" i="1" l="1"/>
  <c r="I6" i="1"/>
  <c r="H6" i="1"/>
  <c r="G6" i="1"/>
  <c r="J3" i="1"/>
  <c r="I3" i="1"/>
  <c r="H3" i="1"/>
  <c r="G3" i="1"/>
  <c r="J26" i="1" l="1"/>
  <c r="I26" i="1"/>
  <c r="H26" i="1"/>
  <c r="G26" i="1"/>
  <c r="J19" i="1" l="1"/>
  <c r="I19" i="1"/>
  <c r="H19" i="1"/>
  <c r="G19" i="1"/>
  <c r="F31" i="1" l="1"/>
  <c r="J31" i="1" l="1"/>
  <c r="I31" i="1"/>
  <c r="H31" i="1"/>
  <c r="G31" i="1"/>
  <c r="F53" i="1"/>
  <c r="J53" i="1"/>
  <c r="I53" i="1"/>
  <c r="H53" i="1"/>
  <c r="G53" i="1"/>
  <c r="I45" i="1"/>
  <c r="G45" i="1"/>
  <c r="F45" i="1"/>
  <c r="J45" i="1"/>
  <c r="H45" i="1"/>
  <c r="J39" i="1"/>
  <c r="I39" i="1"/>
  <c r="H39" i="1"/>
  <c r="G39" i="1"/>
  <c r="F39" i="1"/>
  <c r="I36" i="1"/>
  <c r="G36" i="1"/>
  <c r="F36" i="1"/>
  <c r="J36" i="1"/>
  <c r="H36" i="1"/>
  <c r="F13" i="1" l="1"/>
  <c r="J23" i="1" l="1"/>
  <c r="I23" i="1"/>
  <c r="H23" i="1"/>
  <c r="G23" i="1"/>
  <c r="F21" i="1"/>
  <c r="J21" i="1" l="1"/>
  <c r="I21" i="1"/>
  <c r="H21" i="1"/>
  <c r="G21" i="1"/>
  <c r="F7" i="1"/>
  <c r="J7" i="1" l="1"/>
  <c r="I7" i="1"/>
  <c r="H7" i="1"/>
  <c r="G7" i="1"/>
  <c r="F25" i="1" l="1"/>
  <c r="J25" i="1"/>
  <c r="I25" i="1"/>
  <c r="H25" i="1"/>
  <c r="G25" i="1"/>
  <c r="J13" i="1" l="1"/>
  <c r="H13" i="1"/>
  <c r="G13" i="1"/>
  <c r="I13" i="1" l="1"/>
</calcChain>
</file>

<file path=xl/sharedStrings.xml><?xml version="1.0" encoding="utf-8"?>
<sst xmlns="http://schemas.openxmlformats.org/spreadsheetml/2006/main" count="175" uniqueCount="76">
  <si>
    <t>Школа</t>
  </si>
  <si>
    <t>Отд./корп</t>
  </si>
  <si>
    <t>День</t>
  </si>
  <si>
    <t>Прием пищи</t>
  </si>
  <si>
    <t>Раздел</t>
  </si>
  <si>
    <t>№ рец.</t>
  </si>
  <si>
    <t>Блюдо</t>
  </si>
  <si>
    <t>Выход, г</t>
  </si>
  <si>
    <t>Цена</t>
  </si>
  <si>
    <t>Калорийность</t>
  </si>
  <si>
    <t>Белки</t>
  </si>
  <si>
    <t>Жиры</t>
  </si>
  <si>
    <t>Углеводы</t>
  </si>
  <si>
    <t>Горячее блюдо</t>
  </si>
  <si>
    <t>Хлеб</t>
  </si>
  <si>
    <t>Итого</t>
  </si>
  <si>
    <t>Первое блюдо</t>
  </si>
  <si>
    <t>Гарнир</t>
  </si>
  <si>
    <t>Горячий напиток</t>
  </si>
  <si>
    <t>№685-2004г.</t>
  </si>
  <si>
    <t>Чай с сахаром</t>
  </si>
  <si>
    <t>Мучное изделие</t>
  </si>
  <si>
    <t>Гимназия №1</t>
  </si>
  <si>
    <t>подпись                расшифровка             </t>
  </si>
  <si>
    <t>Ответственный за питание</t>
  </si>
  <si>
    <t>Согласовано Директором МАОУ "Гимназия №1" Кравченко А.М.</t>
  </si>
  <si>
    <r>
      <t xml:space="preserve">Зав. производств. </t>
    </r>
    <r>
      <rPr>
        <sz val="11"/>
        <color theme="1"/>
        <rFont val="Times New Roman"/>
        <family val="1"/>
        <charset val="204"/>
      </rPr>
      <t>Кошакова З.С.</t>
    </r>
  </si>
  <si>
    <t>Завтрак 1-2 кл и дети-инвалиды 1 смена</t>
  </si>
  <si>
    <t xml:space="preserve">Обед дети-инвалиды 1-2 кл 1 смена </t>
  </si>
  <si>
    <t>Обед 3-4 кл., дети-инвалиды 2 смена, ГПД</t>
  </si>
  <si>
    <t>Полдник дети-инвалиды 3-4 кл 2 смена</t>
  </si>
  <si>
    <t>Закуска</t>
  </si>
  <si>
    <t>ТТК№5</t>
  </si>
  <si>
    <t>Батон "Домашний"</t>
  </si>
  <si>
    <t>200/15</t>
  </si>
  <si>
    <t>Завтрак льготный 5-11 кл</t>
  </si>
  <si>
    <t>Завтрак бюджетный 1-я смена и полдник для детей-инвалидов 2-я смена 5-11 кл</t>
  </si>
  <si>
    <t xml:space="preserve">Обед дети-инвалиды 5-11 кл 1 смена </t>
  </si>
  <si>
    <t>Кондитерское изделие</t>
  </si>
  <si>
    <t>ПР</t>
  </si>
  <si>
    <t>№686-2004г.</t>
  </si>
  <si>
    <t>Чай с лимоном</t>
  </si>
  <si>
    <t>200/15/7</t>
  </si>
  <si>
    <t>Фрукт</t>
  </si>
  <si>
    <t>№338-2015г.</t>
  </si>
  <si>
    <t>№268-2015г.</t>
  </si>
  <si>
    <t>Котлета из свинины</t>
  </si>
  <si>
    <t>№304-2015г.</t>
  </si>
  <si>
    <t>Рис отварной</t>
  </si>
  <si>
    <t>№71-2015г.</t>
  </si>
  <si>
    <t>Напиток</t>
  </si>
  <si>
    <t>№422-2015г.</t>
  </si>
  <si>
    <t>Булочка ванильная</t>
  </si>
  <si>
    <t>Молочный коктейль "Авишка" 2,5%</t>
  </si>
  <si>
    <t>Зефир фруктовый</t>
  </si>
  <si>
    <t>Завтрак 5-11 кл с доплатой 70,00 руб. и льготники с доплатой 50.00; ДМГ 77,00 1 смена</t>
  </si>
  <si>
    <t>Обед 6-7 кл. с доплатой 70,00 руб. и льготники с доплатой 50.00; ДМГ 77,00 2-я смена</t>
  </si>
  <si>
    <t>Апельсин свежий (порция)</t>
  </si>
  <si>
    <t>№424-2015г.</t>
  </si>
  <si>
    <t>Булочка домашняя</t>
  </si>
  <si>
    <t>№15-2015г.</t>
  </si>
  <si>
    <t>Сыр</t>
  </si>
  <si>
    <t>Печенье "Ванильное"</t>
  </si>
  <si>
    <t>№392-2015г.</t>
  </si>
  <si>
    <t>Пельмени отварные с маслом</t>
  </si>
  <si>
    <t>180/5</t>
  </si>
  <si>
    <t>Пряник мятный</t>
  </si>
  <si>
    <t>№102-2015г.</t>
  </si>
  <si>
    <t>Суп картофельный с горохом с зеленью</t>
  </si>
  <si>
    <t>250/2</t>
  </si>
  <si>
    <t>№306-2015г.</t>
  </si>
  <si>
    <t xml:space="preserve">Бобовые отварные (кукуруза сахарная консервированная) </t>
  </si>
  <si>
    <t>135/3</t>
  </si>
  <si>
    <t>Овощи натуральные свежие (огурцы)</t>
  </si>
  <si>
    <t>№388-2015г.</t>
  </si>
  <si>
    <t>Напиток из плодов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</si>
</sst>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108">
    <xf numFmtId="0" fontId="0" fillId="0" borderId="0" xfId="0"/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2" fontId="5" fillId="0" borderId="3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vertical="center" wrapText="1"/>
    </xf>
    <xf numFmtId="2" fontId="5" fillId="0" borderId="11" xfId="0" applyNumberFormat="1" applyFont="1" applyBorder="1" applyAlignment="1">
      <alignment horizontal="right"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2" fontId="5" fillId="0" borderId="13" xfId="0" applyNumberFormat="1" applyFont="1" applyBorder="1" applyAlignment="1">
      <alignment vertical="center" wrapText="1"/>
    </xf>
    <xf numFmtId="2" fontId="5" fillId="0" borderId="14" xfId="0" applyNumberFormat="1" applyFont="1" applyBorder="1" applyAlignment="1">
      <alignment vertical="center" wrapText="1"/>
    </xf>
    <xf numFmtId="0" fontId="5" fillId="0" borderId="8" xfId="0" applyFont="1" applyBorder="1" applyAlignment="1">
      <alignment horizontal="right" vertical="center" wrapText="1"/>
    </xf>
    <xf numFmtId="2" fontId="5" fillId="0" borderId="8" xfId="0" applyNumberFormat="1" applyFont="1" applyBorder="1" applyAlignment="1">
      <alignment horizontal="right" vertical="center" wrapText="1"/>
    </xf>
    <xf numFmtId="2" fontId="5" fillId="0" borderId="9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right" vertical="center" wrapText="1"/>
    </xf>
    <xf numFmtId="2" fontId="5" fillId="0" borderId="13" xfId="0" applyNumberFormat="1" applyFont="1" applyBorder="1" applyAlignment="1">
      <alignment horizontal="right" vertical="center" wrapText="1"/>
    </xf>
    <xf numFmtId="2" fontId="6" fillId="0" borderId="6" xfId="0" applyNumberFormat="1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2" fontId="9" fillId="0" borderId="3" xfId="0" applyNumberFormat="1" applyFont="1" applyBorder="1" applyAlignment="1">
      <alignment horizontal="right" vertical="center" wrapText="1"/>
    </xf>
    <xf numFmtId="2" fontId="9" fillId="0" borderId="11" xfId="0" applyNumberFormat="1" applyFont="1" applyBorder="1" applyAlignment="1">
      <alignment horizontal="right" vertical="center" wrapText="1"/>
    </xf>
    <xf numFmtId="0" fontId="5" fillId="0" borderId="21" xfId="0" applyFont="1" applyBorder="1" applyAlignment="1">
      <alignment vertical="center" wrapText="1"/>
    </xf>
    <xf numFmtId="2" fontId="6" fillId="0" borderId="23" xfId="0" applyNumberFormat="1" applyFont="1" applyBorder="1" applyAlignment="1">
      <alignment vertical="center" wrapText="1"/>
    </xf>
    <xf numFmtId="0" fontId="5" fillId="0" borderId="0" xfId="0" applyFont="1"/>
    <xf numFmtId="0" fontId="5" fillId="0" borderId="0" xfId="0" applyFont="1"/>
    <xf numFmtId="2" fontId="5" fillId="0" borderId="14" xfId="0" applyNumberFormat="1" applyFont="1" applyBorder="1" applyAlignment="1">
      <alignment horizontal="right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0" xfId="0" applyFont="1"/>
    <xf numFmtId="0" fontId="5" fillId="0" borderId="27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/>
    <xf numFmtId="0" fontId="5" fillId="0" borderId="32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5" fillId="0" borderId="33" xfId="0" applyFont="1" applyBorder="1" applyAlignment="1">
      <alignment horizontal="right" vertical="center" wrapText="1"/>
    </xf>
    <xf numFmtId="4" fontId="5" fillId="0" borderId="3" xfId="0" applyNumberFormat="1" applyFont="1" applyBorder="1" applyAlignment="1">
      <alignment horizontal="right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0" fontId="5" fillId="0" borderId="0" xfId="0" applyFont="1"/>
    <xf numFmtId="0" fontId="5" fillId="0" borderId="37" xfId="0" applyFont="1" applyBorder="1" applyAlignment="1">
      <alignment vertical="center" wrapText="1"/>
    </xf>
    <xf numFmtId="0" fontId="5" fillId="0" borderId="38" xfId="0" applyFont="1" applyBorder="1" applyAlignment="1">
      <alignment vertical="center" wrapText="1"/>
    </xf>
    <xf numFmtId="0" fontId="5" fillId="0" borderId="38" xfId="0" applyFont="1" applyBorder="1" applyAlignment="1">
      <alignment horizontal="right" vertical="center" wrapText="1"/>
    </xf>
    <xf numFmtId="2" fontId="5" fillId="0" borderId="38" xfId="0" applyNumberFormat="1" applyFont="1" applyBorder="1" applyAlignment="1">
      <alignment horizontal="right" vertical="center" wrapText="1"/>
    </xf>
    <xf numFmtId="2" fontId="5" fillId="0" borderId="39" xfId="0" applyNumberFormat="1" applyFont="1" applyBorder="1" applyAlignment="1">
      <alignment horizontal="right" vertical="center" wrapText="1"/>
    </xf>
    <xf numFmtId="4" fontId="5" fillId="0" borderId="13" xfId="0" applyNumberFormat="1" applyFont="1" applyBorder="1" applyAlignment="1">
      <alignment horizontal="right" vertical="center" wrapText="1"/>
    </xf>
    <xf numFmtId="4" fontId="5" fillId="0" borderId="14" xfId="0" applyNumberFormat="1" applyFont="1" applyBorder="1" applyAlignment="1">
      <alignment horizontal="right" vertical="center" wrapText="1"/>
    </xf>
    <xf numFmtId="2" fontId="5" fillId="0" borderId="33" xfId="0" applyNumberFormat="1" applyFont="1" applyBorder="1" applyAlignment="1">
      <alignment horizontal="right" vertical="center" wrapText="1"/>
    </xf>
    <xf numFmtId="2" fontId="9" fillId="0" borderId="33" xfId="0" applyNumberFormat="1" applyFont="1" applyBorder="1" applyAlignment="1">
      <alignment horizontal="right" vertical="center" wrapText="1"/>
    </xf>
    <xf numFmtId="2" fontId="9" fillId="0" borderId="40" xfId="0" applyNumberFormat="1" applyFont="1" applyBorder="1" applyAlignment="1">
      <alignment horizontal="right" vertical="center" wrapText="1"/>
    </xf>
    <xf numFmtId="0" fontId="5" fillId="0" borderId="0" xfId="0" applyFont="1"/>
    <xf numFmtId="0" fontId="5" fillId="0" borderId="8" xfId="0" applyFont="1" applyBorder="1" applyAlignment="1">
      <alignment horizontal="left" vertical="center" wrapText="1"/>
    </xf>
    <xf numFmtId="0" fontId="5" fillId="0" borderId="0" xfId="0" applyFont="1"/>
    <xf numFmtId="0" fontId="5" fillId="0" borderId="0" xfId="0" applyFont="1"/>
    <xf numFmtId="2" fontId="6" fillId="0" borderId="42" xfId="0" applyNumberFormat="1" applyFont="1" applyBorder="1" applyAlignment="1">
      <alignment vertical="center" wrapText="1"/>
    </xf>
    <xf numFmtId="2" fontId="6" fillId="0" borderId="28" xfId="0" applyNumberFormat="1" applyFont="1" applyBorder="1" applyAlignment="1">
      <alignment vertical="center" wrapText="1"/>
    </xf>
    <xf numFmtId="2" fontId="9" fillId="0" borderId="8" xfId="0" applyNumberFormat="1" applyFont="1" applyBorder="1" applyAlignment="1">
      <alignment horizontal="right" vertical="center" wrapText="1"/>
    </xf>
    <xf numFmtId="2" fontId="9" fillId="0" borderId="9" xfId="0" applyNumberFormat="1" applyFont="1" applyBorder="1" applyAlignment="1">
      <alignment horizontal="right" vertical="center" wrapText="1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0" fillId="0" borderId="7" xfId="0" applyFont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18" xfId="0" applyFont="1" applyBorder="1" applyAlignment="1">
      <alignment horizontal="right" vertical="center" wrapText="1"/>
    </xf>
    <xf numFmtId="0" fontId="6" fillId="0" borderId="41" xfId="0" applyFont="1" applyBorder="1" applyAlignment="1">
      <alignment horizontal="right" vertical="center" wrapText="1"/>
    </xf>
    <xf numFmtId="0" fontId="6" fillId="0" borderId="42" xfId="0" applyFont="1" applyBorder="1" applyAlignment="1">
      <alignment horizontal="right" vertical="center" wrapText="1"/>
    </xf>
    <xf numFmtId="0" fontId="5" fillId="0" borderId="0" xfId="0" applyFont="1"/>
    <xf numFmtId="0" fontId="6" fillId="0" borderId="4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right" vertical="center" wrapText="1"/>
    </xf>
    <xf numFmtId="0" fontId="6" fillId="0" borderId="30" xfId="0" applyFont="1" applyBorder="1" applyAlignment="1">
      <alignment horizontal="right" vertical="center" wrapText="1"/>
    </xf>
    <xf numFmtId="0" fontId="6" fillId="0" borderId="23" xfId="0" applyFont="1" applyBorder="1" applyAlignment="1">
      <alignment horizontal="right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14" fontId="8" fillId="0" borderId="18" xfId="0" applyNumberFormat="1" applyFont="1" applyBorder="1" applyAlignment="1">
      <alignment horizontal="center" vertical="center" wrapText="1"/>
    </xf>
    <xf numFmtId="14" fontId="8" fillId="0" borderId="19" xfId="0" applyNumberFormat="1" applyFont="1" applyBorder="1" applyAlignment="1">
      <alignment horizontal="center" vertical="center" wrapText="1"/>
    </xf>
    <xf numFmtId="14" fontId="8" fillId="0" borderId="20" xfId="0" applyNumberFormat="1" applyFont="1" applyBorder="1" applyAlignment="1">
      <alignment horizontal="center" vertical="center" wrapText="1"/>
    </xf>
    <xf numFmtId="0" fontId="6" fillId="0" borderId="43" xfId="0" applyFont="1" applyBorder="1" applyAlignment="1">
      <alignment horizontal="right" vertical="center" wrapText="1"/>
    </xf>
    <xf numFmtId="0" fontId="6" fillId="0" borderId="25" xfId="0" applyFont="1" applyBorder="1" applyAlignment="1">
      <alignment horizontal="right" vertical="center" wrapText="1"/>
    </xf>
    <xf numFmtId="0" fontId="6" fillId="0" borderId="17" xfId="0" applyFont="1" applyBorder="1" applyAlignment="1">
      <alignment horizontal="righ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right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35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right" vertical="center" wrapText="1"/>
    </xf>
    <xf numFmtId="0" fontId="5" fillId="0" borderId="44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8" xfId="0" applyNumberFormat="1" applyFont="1" applyBorder="1" applyAlignment="1">
      <alignment horizontal="right" vertical="center" wrapText="1"/>
    </xf>
    <xf numFmtId="4" fontId="5" fillId="0" borderId="9" xfId="0" applyNumberFormat="1" applyFont="1" applyBorder="1" applyAlignment="1">
      <alignment horizontal="right" vertical="center" wrapText="1"/>
    </xf>
    <xf numFmtId="4" fontId="5" fillId="0" borderId="13" xfId="0" applyNumberFormat="1" applyFont="1" applyBorder="1" applyAlignment="1">
      <alignment vertical="center" wrapText="1"/>
    </xf>
    <xf numFmtId="4" fontId="5" fillId="0" borderId="14" xfId="0" applyNumberFormat="1" applyFont="1" applyBorder="1" applyAlignment="1">
      <alignment vertical="center" wrapText="1"/>
    </xf>
  </cellXfs>
  <cellStyles count="12">
    <cellStyle name="Обычный" xfId="0" builtinId="0"/>
    <cellStyle name="Обычный 2" xfId="2"/>
    <cellStyle name="Обычный 2 2" xfId="3"/>
    <cellStyle name="Обычный 2 2 2" xfId="10"/>
    <cellStyle name="Обычный 2 3" xfId="4"/>
    <cellStyle name="Обычный 2 4" xfId="1"/>
    <cellStyle name="Обычный 2 4 2" xfId="7"/>
    <cellStyle name="Обычный 2 4 3" xfId="11"/>
    <cellStyle name="Обычный 2 5" xfId="5"/>
    <cellStyle name="Обычный 2 6" xfId="6"/>
    <cellStyle name="Обычный 2 6 2" xfId="9"/>
    <cellStyle name="Обычный 2 7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abSelected="1" workbookViewId="0">
      <selection activeCell="B3" sqref="B3:J6"/>
    </sheetView>
  </sheetViews>
  <sheetFormatPr defaultRowHeight="15" x14ac:dyDescent="0.25"/>
  <cols>
    <col min="1" max="1" width="20.140625" style="2" customWidth="1"/>
    <col min="2" max="2" width="25" style="2" customWidth="1"/>
    <col min="3" max="3" width="12.28515625" style="2" customWidth="1"/>
    <col min="4" max="4" width="53.140625" style="2" customWidth="1"/>
    <col min="5" max="5" width="10.140625" style="2" bestFit="1" customWidth="1"/>
    <col min="6" max="6" width="9.140625" style="2"/>
    <col min="7" max="7" width="18.140625" style="2" customWidth="1"/>
    <col min="8" max="8" width="11.42578125" style="2" bestFit="1" customWidth="1"/>
    <col min="9" max="9" width="9.140625" style="2"/>
    <col min="10" max="10" width="10.85546875" style="2" customWidth="1"/>
    <col min="11" max="16384" width="9.140625" style="2"/>
  </cols>
  <sheetData>
    <row r="1" spans="1:12" ht="15.75" thickBot="1" x14ac:dyDescent="0.3">
      <c r="A1" s="1" t="s">
        <v>0</v>
      </c>
      <c r="B1" s="81" t="s">
        <v>22</v>
      </c>
      <c r="C1" s="82"/>
      <c r="D1" s="1" t="s">
        <v>1</v>
      </c>
      <c r="E1" s="24"/>
      <c r="F1" s="1" t="s">
        <v>2</v>
      </c>
      <c r="G1" s="83">
        <v>44949</v>
      </c>
      <c r="H1" s="84"/>
      <c r="I1" s="84"/>
      <c r="J1" s="85"/>
      <c r="K1" s="1"/>
      <c r="L1" s="1"/>
    </row>
    <row r="2" spans="1:12" ht="15.75" thickBot="1" x14ac:dyDescent="0.3">
      <c r="A2" s="29" t="s">
        <v>3</v>
      </c>
      <c r="B2" s="3" t="s">
        <v>4</v>
      </c>
      <c r="C2" s="30" t="s">
        <v>5</v>
      </c>
      <c r="D2" s="33" t="s">
        <v>6</v>
      </c>
      <c r="E2" s="33" t="s">
        <v>7</v>
      </c>
      <c r="F2" s="33" t="s">
        <v>8</v>
      </c>
      <c r="G2" s="3" t="s">
        <v>9</v>
      </c>
      <c r="H2" s="3" t="s">
        <v>10</v>
      </c>
      <c r="I2" s="3" t="s">
        <v>11</v>
      </c>
      <c r="J2" s="31" t="s">
        <v>12</v>
      </c>
    </row>
    <row r="3" spans="1:12" s="55" customFormat="1" ht="17.25" customHeight="1" x14ac:dyDescent="0.25">
      <c r="A3" s="93" t="s">
        <v>27</v>
      </c>
      <c r="B3" s="19" t="s">
        <v>13</v>
      </c>
      <c r="C3" s="20" t="s">
        <v>63</v>
      </c>
      <c r="D3" s="20" t="s">
        <v>64</v>
      </c>
      <c r="E3" s="12" t="s">
        <v>65</v>
      </c>
      <c r="F3" s="13">
        <v>76</v>
      </c>
      <c r="G3" s="58">
        <f>282/15*18+66*0.5</f>
        <v>371.40000000000003</v>
      </c>
      <c r="H3" s="58">
        <f>9.08/15*18+0.08*0.5</f>
        <v>10.936</v>
      </c>
      <c r="I3" s="58">
        <f>14.1/15*18+7.25*0.5</f>
        <v>20.544999999999998</v>
      </c>
      <c r="J3" s="59">
        <f>29.7/15*18+0.13*0.5</f>
        <v>35.704999999999998</v>
      </c>
    </row>
    <row r="4" spans="1:12" s="26" customFormat="1" x14ac:dyDescent="0.25">
      <c r="A4" s="94"/>
      <c r="B4" s="6" t="s">
        <v>18</v>
      </c>
      <c r="C4" s="4" t="s">
        <v>40</v>
      </c>
      <c r="D4" s="4" t="s">
        <v>41</v>
      </c>
      <c r="E4" s="15" t="s">
        <v>42</v>
      </c>
      <c r="F4" s="5">
        <v>5.0599999999999996</v>
      </c>
      <c r="G4" s="5">
        <v>62</v>
      </c>
      <c r="H4" s="5">
        <v>0.13</v>
      </c>
      <c r="I4" s="5">
        <v>0.02</v>
      </c>
      <c r="J4" s="7">
        <v>15.2</v>
      </c>
      <c r="K4"/>
    </row>
    <row r="5" spans="1:12" s="52" customFormat="1" x14ac:dyDescent="0.25">
      <c r="A5" s="94"/>
      <c r="B5" s="6" t="s">
        <v>38</v>
      </c>
      <c r="C5" s="4" t="s">
        <v>39</v>
      </c>
      <c r="D5" s="4" t="s">
        <v>66</v>
      </c>
      <c r="E5" s="15">
        <v>75</v>
      </c>
      <c r="F5" s="5">
        <v>15.75</v>
      </c>
      <c r="G5" s="5">
        <f>370*0.75</f>
        <v>277.5</v>
      </c>
      <c r="H5" s="5">
        <f>5*0.75</f>
        <v>3.75</v>
      </c>
      <c r="I5" s="5">
        <f>6*0.75</f>
        <v>4.5</v>
      </c>
      <c r="J5" s="7">
        <f>73*0.75</f>
        <v>54.75</v>
      </c>
      <c r="K5"/>
    </row>
    <row r="6" spans="1:12" s="35" customFormat="1" ht="15.75" thickBot="1" x14ac:dyDescent="0.3">
      <c r="A6" s="95"/>
      <c r="B6" s="8" t="s">
        <v>14</v>
      </c>
      <c r="C6" s="9" t="s">
        <v>32</v>
      </c>
      <c r="D6" s="9" t="s">
        <v>33</v>
      </c>
      <c r="E6" s="16">
        <v>9</v>
      </c>
      <c r="F6" s="17">
        <v>0.34</v>
      </c>
      <c r="G6" s="17">
        <f>229.7*0.09</f>
        <v>20.672999999999998</v>
      </c>
      <c r="H6" s="10">
        <f>6.7*0.09</f>
        <v>0.60299999999999998</v>
      </c>
      <c r="I6" s="10">
        <f>1.1*0.09</f>
        <v>9.9000000000000005E-2</v>
      </c>
      <c r="J6" s="11">
        <f>48.3*0.09</f>
        <v>4.3469999999999995</v>
      </c>
    </row>
    <row r="7" spans="1:12" ht="16.5" thickBot="1" x14ac:dyDescent="0.3">
      <c r="A7" s="67" t="s">
        <v>15</v>
      </c>
      <c r="B7" s="68"/>
      <c r="C7" s="68"/>
      <c r="D7" s="68"/>
      <c r="E7" s="86"/>
      <c r="F7" s="57">
        <f>SUM(F3:F6)</f>
        <v>97.15</v>
      </c>
      <c r="G7" s="57">
        <f>SUM(G3:G6)</f>
        <v>731.57300000000009</v>
      </c>
      <c r="H7" s="57">
        <f>SUM(H3:H6)</f>
        <v>15.419</v>
      </c>
      <c r="I7" s="57">
        <f>SUM(I3:I6)</f>
        <v>25.163999999999998</v>
      </c>
      <c r="J7" s="57">
        <f>SUM(J3:J6)</f>
        <v>110.002</v>
      </c>
    </row>
    <row r="8" spans="1:12" x14ac:dyDescent="0.25">
      <c r="A8" s="66" t="s">
        <v>28</v>
      </c>
      <c r="B8" s="19" t="s">
        <v>16</v>
      </c>
      <c r="C8" s="20" t="s">
        <v>67</v>
      </c>
      <c r="D8" s="20" t="s">
        <v>68</v>
      </c>
      <c r="E8" s="12" t="s">
        <v>69</v>
      </c>
      <c r="F8" s="13">
        <v>7.48</v>
      </c>
      <c r="G8" s="13">
        <v>148.25</v>
      </c>
      <c r="H8" s="13">
        <v>5.49</v>
      </c>
      <c r="I8" s="13">
        <v>5.27</v>
      </c>
      <c r="J8" s="14">
        <v>16.54</v>
      </c>
      <c r="K8"/>
    </row>
    <row r="9" spans="1:12" x14ac:dyDescent="0.25">
      <c r="A9" s="66"/>
      <c r="B9" s="36" t="s">
        <v>13</v>
      </c>
      <c r="C9" s="37" t="s">
        <v>45</v>
      </c>
      <c r="D9" s="37" t="s">
        <v>46</v>
      </c>
      <c r="E9" s="38">
        <v>40</v>
      </c>
      <c r="F9" s="49">
        <v>18.739999999999998</v>
      </c>
      <c r="G9" s="50">
        <f>273/75*40</f>
        <v>145.6</v>
      </c>
      <c r="H9" s="50">
        <f>10.11/75*40</f>
        <v>5.3920000000000003</v>
      </c>
      <c r="I9" s="50">
        <f>20.87/75*40</f>
        <v>11.130666666666666</v>
      </c>
      <c r="J9" s="51">
        <f>10.64/75*40</f>
        <v>5.674666666666667</v>
      </c>
      <c r="K9"/>
    </row>
    <row r="10" spans="1:12" s="54" customFormat="1" x14ac:dyDescent="0.25">
      <c r="A10" s="66"/>
      <c r="B10" s="6" t="s">
        <v>17</v>
      </c>
      <c r="C10" s="4" t="s">
        <v>47</v>
      </c>
      <c r="D10" s="4" t="s">
        <v>48</v>
      </c>
      <c r="E10" s="15">
        <v>120</v>
      </c>
      <c r="F10" s="5">
        <v>11.94</v>
      </c>
      <c r="G10" s="5">
        <f>1398*0.12</f>
        <v>167.76</v>
      </c>
      <c r="H10" s="5">
        <f>24.34*0.12</f>
        <v>2.9207999999999998</v>
      </c>
      <c r="I10" s="5">
        <f>35.83*0.12</f>
        <v>4.2995999999999999</v>
      </c>
      <c r="J10" s="7">
        <f>244.56*0.12</f>
        <v>29.347200000000001</v>
      </c>
    </row>
    <row r="11" spans="1:12" s="26" customFormat="1" x14ac:dyDescent="0.25">
      <c r="A11" s="66"/>
      <c r="B11" s="6" t="s">
        <v>18</v>
      </c>
      <c r="C11" s="4" t="s">
        <v>19</v>
      </c>
      <c r="D11" s="4" t="s">
        <v>20</v>
      </c>
      <c r="E11" s="15" t="s">
        <v>34</v>
      </c>
      <c r="F11" s="5">
        <v>3.01</v>
      </c>
      <c r="G11" s="5">
        <v>60</v>
      </c>
      <c r="H11" s="5">
        <v>7.0000000000000007E-2</v>
      </c>
      <c r="I11" s="5">
        <v>0.02</v>
      </c>
      <c r="J11" s="7">
        <v>15</v>
      </c>
    </row>
    <row r="12" spans="1:12" ht="15.75" thickBot="1" x14ac:dyDescent="0.3">
      <c r="A12" s="66"/>
      <c r="B12" s="8" t="s">
        <v>14</v>
      </c>
      <c r="C12" s="9" t="s">
        <v>32</v>
      </c>
      <c r="D12" s="9" t="s">
        <v>33</v>
      </c>
      <c r="E12" s="16">
        <v>29</v>
      </c>
      <c r="F12" s="17">
        <v>1.1200000000000001</v>
      </c>
      <c r="G12" s="17">
        <f>229.7*0.29</f>
        <v>66.612999999999985</v>
      </c>
      <c r="H12" s="10">
        <f>6.7*0.29</f>
        <v>1.9429999999999998</v>
      </c>
      <c r="I12" s="10">
        <f>1.1*0.29</f>
        <v>0.31900000000000001</v>
      </c>
      <c r="J12" s="11">
        <f>48.3*0.29</f>
        <v>14.006999999999998</v>
      </c>
    </row>
    <row r="13" spans="1:12" ht="16.5" thickBot="1" x14ac:dyDescent="0.3">
      <c r="A13" s="87" t="s">
        <v>15</v>
      </c>
      <c r="B13" s="78"/>
      <c r="C13" s="78"/>
      <c r="D13" s="78"/>
      <c r="E13" s="80"/>
      <c r="F13" s="25">
        <f>SUM(F8:F12)</f>
        <v>42.289999999999992</v>
      </c>
      <c r="G13" s="25">
        <f t="shared" ref="G13:J13" si="0">SUM(G8:G12)</f>
        <v>588.22299999999996</v>
      </c>
      <c r="H13" s="25">
        <f t="shared" si="0"/>
        <v>15.815800000000001</v>
      </c>
      <c r="I13" s="25">
        <f t="shared" si="0"/>
        <v>21.039266666666663</v>
      </c>
      <c r="J13" s="25">
        <f t="shared" si="0"/>
        <v>80.568866666666679</v>
      </c>
    </row>
    <row r="14" spans="1:12" s="52" customFormat="1" ht="16.5" customHeight="1" x14ac:dyDescent="0.25">
      <c r="A14" s="76" t="s">
        <v>29</v>
      </c>
      <c r="B14" s="103" t="s">
        <v>31</v>
      </c>
      <c r="C14" s="53" t="s">
        <v>70</v>
      </c>
      <c r="D14" s="53" t="s">
        <v>71</v>
      </c>
      <c r="E14" s="12">
        <v>8</v>
      </c>
      <c r="F14" s="13">
        <v>4.0599999999999996</v>
      </c>
      <c r="G14" s="13">
        <f>736*0.008</f>
        <v>5.8879999999999999</v>
      </c>
      <c r="H14" s="13">
        <f>20.55*0.008</f>
        <v>0.16440000000000002</v>
      </c>
      <c r="I14" s="13">
        <f>29.1*0.008</f>
        <v>0.23280000000000001</v>
      </c>
      <c r="J14" s="14">
        <f>97.89*0.008</f>
        <v>0.78312000000000004</v>
      </c>
    </row>
    <row r="15" spans="1:12" s="63" customFormat="1" x14ac:dyDescent="0.25">
      <c r="A15" s="102"/>
      <c r="B15" s="6" t="s">
        <v>16</v>
      </c>
      <c r="C15" s="4" t="s">
        <v>67</v>
      </c>
      <c r="D15" s="4" t="s">
        <v>68</v>
      </c>
      <c r="E15" s="15" t="s">
        <v>69</v>
      </c>
      <c r="F15" s="5">
        <v>7.48</v>
      </c>
      <c r="G15" s="5">
        <v>148.25</v>
      </c>
      <c r="H15" s="5">
        <v>5.49</v>
      </c>
      <c r="I15" s="5">
        <v>5.27</v>
      </c>
      <c r="J15" s="7">
        <v>16.54</v>
      </c>
    </row>
    <row r="16" spans="1:12" s="55" customFormat="1" x14ac:dyDescent="0.25">
      <c r="A16" s="102"/>
      <c r="B16" s="6" t="s">
        <v>13</v>
      </c>
      <c r="C16" s="4" t="s">
        <v>45</v>
      </c>
      <c r="D16" s="4" t="s">
        <v>46</v>
      </c>
      <c r="E16" s="15">
        <v>60</v>
      </c>
      <c r="F16" s="5">
        <v>28.11</v>
      </c>
      <c r="G16" s="22">
        <f>273/75*60</f>
        <v>218.4</v>
      </c>
      <c r="H16" s="22">
        <f>10.11/75*60</f>
        <v>8.088000000000001</v>
      </c>
      <c r="I16" s="22">
        <f>20.87/75*60</f>
        <v>16.695999999999998</v>
      </c>
      <c r="J16" s="23">
        <f>10.64/75*60</f>
        <v>8.5120000000000005</v>
      </c>
    </row>
    <row r="17" spans="1:11" s="34" customFormat="1" x14ac:dyDescent="0.25">
      <c r="A17" s="102"/>
      <c r="B17" s="6" t="s">
        <v>17</v>
      </c>
      <c r="C17" s="4" t="s">
        <v>47</v>
      </c>
      <c r="D17" s="4" t="s">
        <v>48</v>
      </c>
      <c r="E17" s="15">
        <v>120</v>
      </c>
      <c r="F17" s="5">
        <v>11.94</v>
      </c>
      <c r="G17" s="5">
        <f>1398*0.12</f>
        <v>167.76</v>
      </c>
      <c r="H17" s="5">
        <f>24.34*0.12</f>
        <v>2.9207999999999998</v>
      </c>
      <c r="I17" s="5">
        <f>35.83*0.12</f>
        <v>4.2995999999999999</v>
      </c>
      <c r="J17" s="7">
        <f>244.56*0.12</f>
        <v>29.347200000000001</v>
      </c>
    </row>
    <row r="18" spans="1:11" s="54" customFormat="1" x14ac:dyDescent="0.25">
      <c r="A18" s="102"/>
      <c r="B18" s="6" t="s">
        <v>50</v>
      </c>
      <c r="C18" s="4" t="s">
        <v>39</v>
      </c>
      <c r="D18" s="4" t="s">
        <v>53</v>
      </c>
      <c r="E18" s="15">
        <v>200</v>
      </c>
      <c r="F18" s="5">
        <v>41.02</v>
      </c>
      <c r="G18" s="22">
        <v>160</v>
      </c>
      <c r="H18" s="22">
        <v>5</v>
      </c>
      <c r="I18" s="22">
        <v>6.2</v>
      </c>
      <c r="J18" s="23">
        <v>22</v>
      </c>
    </row>
    <row r="19" spans="1:11" s="32" customFormat="1" x14ac:dyDescent="0.25">
      <c r="A19" s="102"/>
      <c r="B19" s="6" t="s">
        <v>21</v>
      </c>
      <c r="C19" s="4" t="s">
        <v>51</v>
      </c>
      <c r="D19" s="4" t="s">
        <v>52</v>
      </c>
      <c r="E19" s="15">
        <v>50</v>
      </c>
      <c r="F19" s="5">
        <v>3.86</v>
      </c>
      <c r="G19" s="39">
        <f>283*0.5</f>
        <v>141.5</v>
      </c>
      <c r="H19" s="39">
        <f>7.9*0.5</f>
        <v>3.95</v>
      </c>
      <c r="I19" s="39">
        <f>8.12*0.5</f>
        <v>4.0599999999999996</v>
      </c>
      <c r="J19" s="40">
        <f>44.48*0.5</f>
        <v>22.24</v>
      </c>
    </row>
    <row r="20" spans="1:11" s="32" customFormat="1" ht="15.75" thickBot="1" x14ac:dyDescent="0.3">
      <c r="A20" s="77"/>
      <c r="B20" s="8" t="s">
        <v>14</v>
      </c>
      <c r="C20" s="9" t="s">
        <v>32</v>
      </c>
      <c r="D20" s="9" t="s">
        <v>33</v>
      </c>
      <c r="E20" s="16">
        <v>18</v>
      </c>
      <c r="F20" s="17">
        <v>0.68</v>
      </c>
      <c r="G20" s="17">
        <f>229.7*0.18</f>
        <v>41.345999999999997</v>
      </c>
      <c r="H20" s="10">
        <f>6.7*0.18</f>
        <v>1.206</v>
      </c>
      <c r="I20" s="10">
        <f>1.1*0.18</f>
        <v>0.19800000000000001</v>
      </c>
      <c r="J20" s="11">
        <f>48.3*0.18</f>
        <v>8.6939999999999991</v>
      </c>
    </row>
    <row r="21" spans="1:11" s="27" customFormat="1" ht="16.5" thickBot="1" x14ac:dyDescent="0.3">
      <c r="A21" s="67" t="s">
        <v>15</v>
      </c>
      <c r="B21" s="74"/>
      <c r="C21" s="74"/>
      <c r="D21" s="74"/>
      <c r="E21" s="92"/>
      <c r="F21" s="18">
        <f>SUM(F14:F20)</f>
        <v>97.15</v>
      </c>
      <c r="G21" s="18">
        <f>SUM(G14:G20)</f>
        <v>883.14400000000001</v>
      </c>
      <c r="H21" s="18">
        <f>SUM(H14:H20)</f>
        <v>26.819199999999999</v>
      </c>
      <c r="I21" s="18">
        <f>SUM(I14:I20)</f>
        <v>36.956400000000002</v>
      </c>
      <c r="J21" s="18">
        <f>SUM(J14:J20)</f>
        <v>108.11632</v>
      </c>
      <c r="K21"/>
    </row>
    <row r="22" spans="1:11" s="41" customFormat="1" x14ac:dyDescent="0.25">
      <c r="A22" s="99" t="s">
        <v>30</v>
      </c>
      <c r="B22" s="19" t="s">
        <v>18</v>
      </c>
      <c r="C22" s="20" t="s">
        <v>19</v>
      </c>
      <c r="D22" s="20" t="s">
        <v>20</v>
      </c>
      <c r="E22" s="12" t="s">
        <v>34</v>
      </c>
      <c r="F22" s="13">
        <v>3.01</v>
      </c>
      <c r="G22" s="13">
        <v>60</v>
      </c>
      <c r="H22" s="13">
        <v>7.0000000000000007E-2</v>
      </c>
      <c r="I22" s="13">
        <v>0.02</v>
      </c>
      <c r="J22" s="14">
        <v>15</v>
      </c>
      <c r="K22"/>
    </row>
    <row r="23" spans="1:11" s="41" customFormat="1" x14ac:dyDescent="0.25">
      <c r="A23" s="100"/>
      <c r="B23" s="42" t="s">
        <v>38</v>
      </c>
      <c r="C23" s="43" t="s">
        <v>39</v>
      </c>
      <c r="D23" s="43" t="s">
        <v>54</v>
      </c>
      <c r="E23" s="44">
        <v>60</v>
      </c>
      <c r="F23" s="45">
        <v>15.54</v>
      </c>
      <c r="G23" s="45">
        <f>330*0.6</f>
        <v>198</v>
      </c>
      <c r="H23" s="45">
        <f>1*0.6</f>
        <v>0.6</v>
      </c>
      <c r="I23" s="45">
        <f>0</f>
        <v>0</v>
      </c>
      <c r="J23" s="46">
        <f>81*0.6</f>
        <v>48.6</v>
      </c>
      <c r="K23"/>
    </row>
    <row r="24" spans="1:11" s="55" customFormat="1" ht="15.75" thickBot="1" x14ac:dyDescent="0.3">
      <c r="A24" s="100"/>
      <c r="B24" s="8" t="s">
        <v>43</v>
      </c>
      <c r="C24" s="9" t="s">
        <v>44</v>
      </c>
      <c r="D24" s="9" t="s">
        <v>57</v>
      </c>
      <c r="E24" s="16">
        <v>140</v>
      </c>
      <c r="F24" s="17">
        <v>23.74</v>
      </c>
      <c r="G24" s="47">
        <f>43*1.4</f>
        <v>60.199999999999996</v>
      </c>
      <c r="H24" s="47">
        <f>0.9*1.4</f>
        <v>1.26</v>
      </c>
      <c r="I24" s="47">
        <f>0.2*1.4</f>
        <v>0.27999999999999997</v>
      </c>
      <c r="J24" s="48">
        <f>8.1*1.4</f>
        <v>11.339999999999998</v>
      </c>
      <c r="K24"/>
    </row>
    <row r="25" spans="1:11" s="41" customFormat="1" ht="16.5" thickBot="1" x14ac:dyDescent="0.3">
      <c r="A25" s="101" t="s">
        <v>15</v>
      </c>
      <c r="B25" s="74"/>
      <c r="C25" s="74"/>
      <c r="D25" s="74"/>
      <c r="E25" s="75"/>
      <c r="F25" s="18">
        <f>SUM(F22:F24)</f>
        <v>42.289999999999992</v>
      </c>
      <c r="G25" s="18">
        <f>SUM(G22:G24)</f>
        <v>318.2</v>
      </c>
      <c r="H25" s="18">
        <f>SUM(H22:H24)</f>
        <v>1.93</v>
      </c>
      <c r="I25" s="18">
        <f>SUM(I22:I24)</f>
        <v>0.3</v>
      </c>
      <c r="J25" s="18">
        <f>SUM(J22:J24)</f>
        <v>74.94</v>
      </c>
      <c r="K25"/>
    </row>
    <row r="26" spans="1:11" ht="15.75" x14ac:dyDescent="0.25">
      <c r="A26" s="96" t="s">
        <v>55</v>
      </c>
      <c r="B26" s="64" t="s">
        <v>31</v>
      </c>
      <c r="C26" s="53" t="s">
        <v>60</v>
      </c>
      <c r="D26" s="53" t="s">
        <v>61</v>
      </c>
      <c r="E26" s="12">
        <v>10</v>
      </c>
      <c r="F26" s="104">
        <v>9.9</v>
      </c>
      <c r="G26" s="104">
        <f>108/30*10</f>
        <v>36</v>
      </c>
      <c r="H26" s="104">
        <f>6.96/30*10</f>
        <v>2.3200000000000003</v>
      </c>
      <c r="I26" s="104">
        <f>8.85/30*10</f>
        <v>2.9499999999999997</v>
      </c>
      <c r="J26" s="105">
        <f>0</f>
        <v>0</v>
      </c>
    </row>
    <row r="27" spans="1:11" s="62" customFormat="1" x14ac:dyDescent="0.25">
      <c r="A27" s="97"/>
      <c r="B27" s="6" t="s">
        <v>13</v>
      </c>
      <c r="C27" s="4" t="s">
        <v>63</v>
      </c>
      <c r="D27" s="4" t="s">
        <v>64</v>
      </c>
      <c r="E27" s="15" t="s">
        <v>72</v>
      </c>
      <c r="F27" s="5">
        <v>56.06</v>
      </c>
      <c r="G27" s="22">
        <f>282/15*13.5+66*0.3</f>
        <v>273.60000000000002</v>
      </c>
      <c r="H27" s="22">
        <f>9.08/15*13.5+0.08*0.3</f>
        <v>8.1959999999999997</v>
      </c>
      <c r="I27" s="22">
        <f>14.1/15*13.5+7.25*0.3</f>
        <v>14.864999999999998</v>
      </c>
      <c r="J27" s="23">
        <f>29.7/15*13.5+0.13*0.3</f>
        <v>26.769000000000002</v>
      </c>
    </row>
    <row r="28" spans="1:11" s="60" customFormat="1" x14ac:dyDescent="0.25">
      <c r="A28" s="97"/>
      <c r="B28" s="6" t="s">
        <v>18</v>
      </c>
      <c r="C28" s="4" t="s">
        <v>40</v>
      </c>
      <c r="D28" s="4" t="s">
        <v>41</v>
      </c>
      <c r="E28" s="15" t="s">
        <v>42</v>
      </c>
      <c r="F28" s="5">
        <v>5.0599999999999996</v>
      </c>
      <c r="G28" s="5">
        <v>62</v>
      </c>
      <c r="H28" s="5">
        <v>0.13</v>
      </c>
      <c r="I28" s="5">
        <v>0.02</v>
      </c>
      <c r="J28" s="7">
        <v>15.2</v>
      </c>
    </row>
    <row r="29" spans="1:11" x14ac:dyDescent="0.25">
      <c r="A29" s="97"/>
      <c r="B29" s="6" t="s">
        <v>21</v>
      </c>
      <c r="C29" s="4" t="s">
        <v>58</v>
      </c>
      <c r="D29" s="4" t="s">
        <v>59</v>
      </c>
      <c r="E29" s="15">
        <v>50</v>
      </c>
      <c r="F29" s="39">
        <v>4.1900000000000004</v>
      </c>
      <c r="G29" s="39">
        <v>159</v>
      </c>
      <c r="H29" s="39">
        <v>3.64</v>
      </c>
      <c r="I29" s="39">
        <v>6.26</v>
      </c>
      <c r="J29" s="40">
        <v>21.96</v>
      </c>
    </row>
    <row r="30" spans="1:11" ht="15.75" thickBot="1" x14ac:dyDescent="0.3">
      <c r="A30" s="98"/>
      <c r="B30" s="8" t="s">
        <v>14</v>
      </c>
      <c r="C30" s="9" t="s">
        <v>32</v>
      </c>
      <c r="D30" s="9" t="s">
        <v>33</v>
      </c>
      <c r="E30" s="16">
        <v>46</v>
      </c>
      <c r="F30" s="47">
        <v>1.79</v>
      </c>
      <c r="G30" s="47">
        <f>229.7*0.46</f>
        <v>105.66200000000001</v>
      </c>
      <c r="H30" s="106">
        <f>6.7*0.46</f>
        <v>3.0820000000000003</v>
      </c>
      <c r="I30" s="106">
        <f>1.1*0.46</f>
        <v>0.50600000000000012</v>
      </c>
      <c r="J30" s="107">
        <f>48.3*0.46</f>
        <v>22.218</v>
      </c>
    </row>
    <row r="31" spans="1:11" ht="16.5" thickBot="1" x14ac:dyDescent="0.3">
      <c r="A31" s="88" t="s">
        <v>15</v>
      </c>
      <c r="B31" s="74"/>
      <c r="C31" s="74"/>
      <c r="D31" s="74"/>
      <c r="E31" s="75"/>
      <c r="F31" s="18">
        <f>SUM(F26:F30)</f>
        <v>77.000000000000014</v>
      </c>
      <c r="G31" s="18">
        <f>SUM(G26:G30)</f>
        <v>636.26200000000006</v>
      </c>
      <c r="H31" s="18">
        <f>SUM(H26:H30)</f>
        <v>17.368000000000002</v>
      </c>
      <c r="I31" s="18">
        <f>SUM(I26:I30)</f>
        <v>24.600999999999999</v>
      </c>
      <c r="J31" s="18">
        <f>SUM(J26:J30)</f>
        <v>86.147000000000006</v>
      </c>
    </row>
    <row r="32" spans="1:11" ht="30" x14ac:dyDescent="0.25">
      <c r="A32" s="89" t="s">
        <v>35</v>
      </c>
      <c r="B32" s="103" t="s">
        <v>31</v>
      </c>
      <c r="C32" s="53" t="s">
        <v>70</v>
      </c>
      <c r="D32" s="53" t="s">
        <v>71</v>
      </c>
      <c r="E32" s="12">
        <v>15</v>
      </c>
      <c r="F32" s="13">
        <v>7.6219999999999999</v>
      </c>
      <c r="G32" s="13">
        <f>736*0.015</f>
        <v>11.04</v>
      </c>
      <c r="H32" s="13">
        <f>20.55*0.015</f>
        <v>0.30825000000000002</v>
      </c>
      <c r="I32" s="13">
        <f>29.1*0.015</f>
        <v>0.4365</v>
      </c>
      <c r="J32" s="14">
        <f>97.89*0.015</f>
        <v>1.46835</v>
      </c>
    </row>
    <row r="33" spans="1:10" s="63" customFormat="1" x14ac:dyDescent="0.25">
      <c r="A33" s="90"/>
      <c r="B33" s="6" t="s">
        <v>17</v>
      </c>
      <c r="C33" s="4" t="s">
        <v>47</v>
      </c>
      <c r="D33" s="4" t="s">
        <v>48</v>
      </c>
      <c r="E33" s="15">
        <v>150</v>
      </c>
      <c r="F33" s="5">
        <v>14.93</v>
      </c>
      <c r="G33" s="5">
        <f>1398*0.15</f>
        <v>209.7</v>
      </c>
      <c r="H33" s="5">
        <f>24.34*0.15</f>
        <v>3.6509999999999998</v>
      </c>
      <c r="I33" s="5">
        <f>35.83*0.15</f>
        <v>5.3744999999999994</v>
      </c>
      <c r="J33" s="7">
        <f>244.56*0.15</f>
        <v>36.683999999999997</v>
      </c>
    </row>
    <row r="34" spans="1:10" x14ac:dyDescent="0.25">
      <c r="A34" s="90"/>
      <c r="B34" s="6" t="s">
        <v>18</v>
      </c>
      <c r="C34" s="4" t="s">
        <v>19</v>
      </c>
      <c r="D34" s="4" t="s">
        <v>20</v>
      </c>
      <c r="E34" s="15" t="s">
        <v>34</v>
      </c>
      <c r="F34" s="5">
        <v>3.01</v>
      </c>
      <c r="G34" s="5">
        <v>60</v>
      </c>
      <c r="H34" s="5">
        <v>7.0000000000000007E-2</v>
      </c>
      <c r="I34" s="5">
        <v>0.02</v>
      </c>
      <c r="J34" s="7">
        <v>15</v>
      </c>
    </row>
    <row r="35" spans="1:10" ht="15.75" thickBot="1" x14ac:dyDescent="0.3">
      <c r="A35" s="91"/>
      <c r="B35" s="8" t="s">
        <v>14</v>
      </c>
      <c r="C35" s="9" t="s">
        <v>32</v>
      </c>
      <c r="D35" s="9" t="s">
        <v>33</v>
      </c>
      <c r="E35" s="16">
        <v>37.5</v>
      </c>
      <c r="F35" s="17">
        <v>1.44</v>
      </c>
      <c r="G35" s="17">
        <f>229.7*0.375</f>
        <v>86.137499999999989</v>
      </c>
      <c r="H35" s="10">
        <f>6.7*0.375</f>
        <v>2.5125000000000002</v>
      </c>
      <c r="I35" s="10">
        <f>1.1*0.375</f>
        <v>0.41250000000000003</v>
      </c>
      <c r="J35" s="11">
        <f>48.3*0.375</f>
        <v>18.112499999999997</v>
      </c>
    </row>
    <row r="36" spans="1:10" ht="16.5" thickBot="1" x14ac:dyDescent="0.3">
      <c r="A36" s="73" t="s">
        <v>15</v>
      </c>
      <c r="B36" s="74"/>
      <c r="C36" s="74"/>
      <c r="D36" s="74"/>
      <c r="E36" s="75"/>
      <c r="F36" s="18">
        <f>SUM(F32:F35)</f>
        <v>27.001999999999999</v>
      </c>
      <c r="G36" s="18">
        <f>SUM(G32:G35)</f>
        <v>366.8775</v>
      </c>
      <c r="H36" s="18">
        <f>SUM(H32:H35)</f>
        <v>6.5417500000000004</v>
      </c>
      <c r="I36" s="18">
        <f>SUM(I32:I35)</f>
        <v>6.2434999999999983</v>
      </c>
      <c r="J36" s="18">
        <f>SUM(J32:J35)</f>
        <v>71.264849999999996</v>
      </c>
    </row>
    <row r="37" spans="1:10" ht="43.5" customHeight="1" x14ac:dyDescent="0.25">
      <c r="A37" s="76" t="s">
        <v>36</v>
      </c>
      <c r="B37" s="19" t="s">
        <v>18</v>
      </c>
      <c r="C37" s="20" t="s">
        <v>19</v>
      </c>
      <c r="D37" s="20" t="s">
        <v>20</v>
      </c>
      <c r="E37" s="12" t="s">
        <v>34</v>
      </c>
      <c r="F37" s="13">
        <v>3.01</v>
      </c>
      <c r="G37" s="13">
        <v>60</v>
      </c>
      <c r="H37" s="13">
        <v>7.0000000000000007E-2</v>
      </c>
      <c r="I37" s="13">
        <v>0.02</v>
      </c>
      <c r="J37" s="14">
        <v>15</v>
      </c>
    </row>
    <row r="38" spans="1:10" ht="15.75" thickBot="1" x14ac:dyDescent="0.3">
      <c r="A38" s="77"/>
      <c r="B38" s="8" t="s">
        <v>38</v>
      </c>
      <c r="C38" s="9" t="s">
        <v>39</v>
      </c>
      <c r="D38" s="9" t="s">
        <v>62</v>
      </c>
      <c r="E38" s="16">
        <v>18</v>
      </c>
      <c r="F38" s="17">
        <v>3.99</v>
      </c>
      <c r="G38" s="17">
        <f>430*0.18</f>
        <v>77.399999999999991</v>
      </c>
      <c r="H38" s="17">
        <f>7.1*0.18</f>
        <v>1.2779999999999998</v>
      </c>
      <c r="I38" s="17">
        <f>15.1*0.18</f>
        <v>2.718</v>
      </c>
      <c r="J38" s="28">
        <f>67.7*0.18</f>
        <v>12.186</v>
      </c>
    </row>
    <row r="39" spans="1:10" ht="16.5" thickBot="1" x14ac:dyDescent="0.3">
      <c r="A39" s="67" t="s">
        <v>15</v>
      </c>
      <c r="B39" s="78"/>
      <c r="C39" s="78"/>
      <c r="D39" s="78"/>
      <c r="E39" s="79"/>
      <c r="F39" s="18">
        <f>SUM(F37:F38)</f>
        <v>7</v>
      </c>
      <c r="G39" s="18">
        <f>SUM(G37:G38)</f>
        <v>137.39999999999998</v>
      </c>
      <c r="H39" s="18">
        <f t="shared" ref="H39:J39" si="1">SUM(H37:H38)</f>
        <v>1.3479999999999999</v>
      </c>
      <c r="I39" s="18">
        <f t="shared" si="1"/>
        <v>2.738</v>
      </c>
      <c r="J39" s="18">
        <f t="shared" si="1"/>
        <v>27.186</v>
      </c>
    </row>
    <row r="40" spans="1:10" x14ac:dyDescent="0.25">
      <c r="A40" s="66" t="s">
        <v>37</v>
      </c>
      <c r="B40" s="19" t="s">
        <v>16</v>
      </c>
      <c r="C40" s="20" t="s">
        <v>67</v>
      </c>
      <c r="D40" s="20" t="s">
        <v>68</v>
      </c>
      <c r="E40" s="12" t="s">
        <v>69</v>
      </c>
      <c r="F40" s="13">
        <v>7.48</v>
      </c>
      <c r="G40" s="13">
        <v>148.25</v>
      </c>
      <c r="H40" s="13">
        <v>5.49</v>
      </c>
      <c r="I40" s="13">
        <v>5.27</v>
      </c>
      <c r="J40" s="14">
        <v>16.54</v>
      </c>
    </row>
    <row r="41" spans="1:10" x14ac:dyDescent="0.25">
      <c r="A41" s="66"/>
      <c r="B41" s="36" t="s">
        <v>13</v>
      </c>
      <c r="C41" s="37" t="s">
        <v>45</v>
      </c>
      <c r="D41" s="37" t="s">
        <v>46</v>
      </c>
      <c r="E41" s="38">
        <v>40</v>
      </c>
      <c r="F41" s="49">
        <v>18.739999999999998</v>
      </c>
      <c r="G41" s="50">
        <f>273/75*40</f>
        <v>145.6</v>
      </c>
      <c r="H41" s="50">
        <f>10.11/75*40</f>
        <v>5.3920000000000003</v>
      </c>
      <c r="I41" s="50">
        <f>20.87/75*40</f>
        <v>11.130666666666666</v>
      </c>
      <c r="J41" s="51">
        <f>10.64/75*40</f>
        <v>5.674666666666667</v>
      </c>
    </row>
    <row r="42" spans="1:10" x14ac:dyDescent="0.25">
      <c r="A42" s="66"/>
      <c r="B42" s="6" t="s">
        <v>17</v>
      </c>
      <c r="C42" s="4" t="s">
        <v>47</v>
      </c>
      <c r="D42" s="4" t="s">
        <v>48</v>
      </c>
      <c r="E42" s="15">
        <v>150</v>
      </c>
      <c r="F42" s="5">
        <v>14.93</v>
      </c>
      <c r="G42" s="5">
        <f>1398*0.15</f>
        <v>209.7</v>
      </c>
      <c r="H42" s="5">
        <f>24.34*0.15</f>
        <v>3.6509999999999998</v>
      </c>
      <c r="I42" s="5">
        <f>35.83*0.15</f>
        <v>5.3744999999999994</v>
      </c>
      <c r="J42" s="7">
        <f>244.56*0.15</f>
        <v>36.683999999999997</v>
      </c>
    </row>
    <row r="43" spans="1:10" x14ac:dyDescent="0.25">
      <c r="A43" s="66"/>
      <c r="B43" s="6" t="s">
        <v>18</v>
      </c>
      <c r="C43" s="4" t="s">
        <v>19</v>
      </c>
      <c r="D43" s="4" t="s">
        <v>20</v>
      </c>
      <c r="E43" s="15" t="s">
        <v>34</v>
      </c>
      <c r="F43" s="5">
        <v>3.01</v>
      </c>
      <c r="G43" s="5">
        <v>60</v>
      </c>
      <c r="H43" s="5">
        <v>7.0000000000000007E-2</v>
      </c>
      <c r="I43" s="5">
        <v>0.02</v>
      </c>
      <c r="J43" s="7">
        <v>15</v>
      </c>
    </row>
    <row r="44" spans="1:10" ht="15.75" thickBot="1" x14ac:dyDescent="0.3">
      <c r="A44" s="66"/>
      <c r="B44" s="8" t="s">
        <v>14</v>
      </c>
      <c r="C44" s="9" t="s">
        <v>32</v>
      </c>
      <c r="D44" s="9" t="s">
        <v>33</v>
      </c>
      <c r="E44" s="16">
        <v>21.5</v>
      </c>
      <c r="F44" s="17">
        <v>0.84</v>
      </c>
      <c r="G44" s="17">
        <f>229.7*0.215</f>
        <v>49.385499999999993</v>
      </c>
      <c r="H44" s="10">
        <f>6.7*0.215</f>
        <v>1.4405000000000001</v>
      </c>
      <c r="I44" s="10">
        <f>1.1*0.215</f>
        <v>0.23650000000000002</v>
      </c>
      <c r="J44" s="11">
        <f>48.3*0.215</f>
        <v>10.384499999999999</v>
      </c>
    </row>
    <row r="45" spans="1:10" ht="16.5" thickBot="1" x14ac:dyDescent="0.3">
      <c r="A45" s="67" t="s">
        <v>15</v>
      </c>
      <c r="B45" s="78"/>
      <c r="C45" s="78"/>
      <c r="D45" s="78"/>
      <c r="E45" s="80"/>
      <c r="F45" s="25">
        <f>SUM(F40:F44)</f>
        <v>45</v>
      </c>
      <c r="G45" s="25">
        <f t="shared" ref="G45:J45" si="2">SUM(G40:G44)</f>
        <v>612.93549999999993</v>
      </c>
      <c r="H45" s="25">
        <f t="shared" si="2"/>
        <v>16.043500000000002</v>
      </c>
      <c r="I45" s="25">
        <f t="shared" si="2"/>
        <v>22.031666666666663</v>
      </c>
      <c r="J45" s="25">
        <f t="shared" si="2"/>
        <v>84.283166666666659</v>
      </c>
    </row>
    <row r="46" spans="1:10" x14ac:dyDescent="0.25">
      <c r="A46" s="66" t="s">
        <v>56</v>
      </c>
      <c r="B46" s="19" t="s">
        <v>31</v>
      </c>
      <c r="C46" s="20" t="s">
        <v>49</v>
      </c>
      <c r="D46" s="20" t="s">
        <v>73</v>
      </c>
      <c r="E46" s="12">
        <v>30</v>
      </c>
      <c r="F46" s="13">
        <v>12.51</v>
      </c>
      <c r="G46" s="13">
        <f>6*0.6</f>
        <v>3.5999999999999996</v>
      </c>
      <c r="H46" s="13">
        <f>0.35*0.6</f>
        <v>0.21</v>
      </c>
      <c r="I46" s="13">
        <f>0.05*0.6</f>
        <v>0.03</v>
      </c>
      <c r="J46" s="14">
        <f>0.95*0.6</f>
        <v>0.56999999999999995</v>
      </c>
    </row>
    <row r="47" spans="1:10" s="63" customFormat="1" x14ac:dyDescent="0.25">
      <c r="A47" s="66"/>
      <c r="B47" s="6" t="s">
        <v>16</v>
      </c>
      <c r="C47" s="4" t="s">
        <v>67</v>
      </c>
      <c r="D47" s="4" t="s">
        <v>68</v>
      </c>
      <c r="E47" s="15" t="s">
        <v>69</v>
      </c>
      <c r="F47" s="5">
        <v>7.48</v>
      </c>
      <c r="G47" s="5">
        <v>148.25</v>
      </c>
      <c r="H47" s="5">
        <v>5.49</v>
      </c>
      <c r="I47" s="5">
        <v>5.27</v>
      </c>
      <c r="J47" s="7">
        <v>16.54</v>
      </c>
    </row>
    <row r="48" spans="1:10" x14ac:dyDescent="0.25">
      <c r="A48" s="66"/>
      <c r="B48" s="6" t="s">
        <v>13</v>
      </c>
      <c r="C48" s="4" t="s">
        <v>45</v>
      </c>
      <c r="D48" s="4" t="s">
        <v>46</v>
      </c>
      <c r="E48" s="15">
        <v>60</v>
      </c>
      <c r="F48" s="5">
        <v>28.11</v>
      </c>
      <c r="G48" s="22">
        <f>273/75*60</f>
        <v>218.4</v>
      </c>
      <c r="H48" s="22">
        <f>10.11/75*60</f>
        <v>8.088000000000001</v>
      </c>
      <c r="I48" s="22">
        <f>20.87/75*60</f>
        <v>16.695999999999998</v>
      </c>
      <c r="J48" s="23">
        <f>10.64/75*60</f>
        <v>8.5120000000000005</v>
      </c>
    </row>
    <row r="49" spans="1:10" x14ac:dyDescent="0.25">
      <c r="A49" s="66"/>
      <c r="B49" s="6" t="s">
        <v>17</v>
      </c>
      <c r="C49" s="4" t="s">
        <v>47</v>
      </c>
      <c r="D49" s="4" t="s">
        <v>48</v>
      </c>
      <c r="E49" s="15">
        <v>120</v>
      </c>
      <c r="F49" s="5">
        <v>11.94</v>
      </c>
      <c r="G49" s="5">
        <f>1398*0.12</f>
        <v>167.76</v>
      </c>
      <c r="H49" s="5">
        <f>24.34*0.12</f>
        <v>2.9207999999999998</v>
      </c>
      <c r="I49" s="5">
        <f>35.83*0.12</f>
        <v>4.2995999999999999</v>
      </c>
      <c r="J49" s="7">
        <f>244.56*0.12</f>
        <v>29.347200000000001</v>
      </c>
    </row>
    <row r="50" spans="1:10" s="61" customFormat="1" x14ac:dyDescent="0.25">
      <c r="A50" s="66"/>
      <c r="B50" s="6" t="s">
        <v>50</v>
      </c>
      <c r="C50" s="4" t="s">
        <v>74</v>
      </c>
      <c r="D50" s="4" t="s">
        <v>75</v>
      </c>
      <c r="E50" s="15">
        <v>200</v>
      </c>
      <c r="F50" s="5">
        <v>12.03</v>
      </c>
      <c r="G50" s="5">
        <f>441*0.2</f>
        <v>88.2</v>
      </c>
      <c r="H50" s="5">
        <f>3.39*0.2</f>
        <v>0.67800000000000005</v>
      </c>
      <c r="I50" s="5">
        <f>1.39*0.2</f>
        <v>0.27799999999999997</v>
      </c>
      <c r="J50" s="7">
        <f>103.8*0.2</f>
        <v>20.76</v>
      </c>
    </row>
    <row r="51" spans="1:10" s="61" customFormat="1" x14ac:dyDescent="0.25">
      <c r="A51" s="66"/>
      <c r="B51" s="6" t="s">
        <v>21</v>
      </c>
      <c r="C51" s="4" t="s">
        <v>51</v>
      </c>
      <c r="D51" s="4" t="s">
        <v>52</v>
      </c>
      <c r="E51" s="15">
        <v>50</v>
      </c>
      <c r="F51" s="5">
        <v>3.86</v>
      </c>
      <c r="G51" s="39">
        <f>283*0.5</f>
        <v>141.5</v>
      </c>
      <c r="H51" s="39">
        <f>7.9*0.5</f>
        <v>3.95</v>
      </c>
      <c r="I51" s="39">
        <f>8.12*0.5</f>
        <v>4.0599999999999996</v>
      </c>
      <c r="J51" s="40">
        <f>44.48*0.5</f>
        <v>22.24</v>
      </c>
    </row>
    <row r="52" spans="1:10" ht="15.75" thickBot="1" x14ac:dyDescent="0.3">
      <c r="A52" s="66"/>
      <c r="B52" s="8" t="s">
        <v>14</v>
      </c>
      <c r="C52" s="9" t="s">
        <v>32</v>
      </c>
      <c r="D52" s="9" t="s">
        <v>33</v>
      </c>
      <c r="E52" s="16">
        <v>27.5</v>
      </c>
      <c r="F52" s="17">
        <v>1.07</v>
      </c>
      <c r="G52" s="17">
        <f>229.7*0.275</f>
        <v>63.167500000000004</v>
      </c>
      <c r="H52" s="10">
        <f>6.7*0.275</f>
        <v>1.8425000000000002</v>
      </c>
      <c r="I52" s="10">
        <f>1.1*0.275</f>
        <v>0.30250000000000005</v>
      </c>
      <c r="J52" s="11">
        <f>48.3*0.275</f>
        <v>13.282500000000001</v>
      </c>
    </row>
    <row r="53" spans="1:10" ht="16.5" thickBot="1" x14ac:dyDescent="0.3">
      <c r="A53" s="67" t="s">
        <v>15</v>
      </c>
      <c r="B53" s="68"/>
      <c r="C53" s="68"/>
      <c r="D53" s="68"/>
      <c r="E53" s="69"/>
      <c r="F53" s="56">
        <f>SUM(F46:F52)</f>
        <v>76.999999999999986</v>
      </c>
      <c r="G53" s="56">
        <f>SUM(G46:G52)</f>
        <v>830.87750000000005</v>
      </c>
      <c r="H53" s="56">
        <f>SUM(H46:H52)</f>
        <v>23.179300000000001</v>
      </c>
      <c r="I53" s="56">
        <f>SUM(I46:I52)</f>
        <v>30.936099999999996</v>
      </c>
      <c r="J53" s="56">
        <f>SUM(J46:J52)</f>
        <v>111.2517</v>
      </c>
    </row>
    <row r="54" spans="1:10" x14ac:dyDescent="0.25">
      <c r="A54" s="60"/>
      <c r="B54" s="60"/>
      <c r="C54" s="60"/>
      <c r="D54" s="60"/>
      <c r="E54" s="60"/>
      <c r="F54" s="60"/>
      <c r="G54" s="60"/>
      <c r="H54" s="60"/>
      <c r="I54" s="60"/>
      <c r="J54" s="60"/>
    </row>
    <row r="55" spans="1:10" ht="15.75" thickBot="1" x14ac:dyDescent="0.3">
      <c r="A55" s="70" t="s">
        <v>25</v>
      </c>
      <c r="B55" s="70"/>
      <c r="C55" s="70"/>
      <c r="D55" s="70"/>
      <c r="E55" s="70"/>
      <c r="F55" s="70"/>
      <c r="G55" s="70"/>
      <c r="H55" s="70"/>
      <c r="I55" s="70"/>
      <c r="J55" s="70"/>
    </row>
    <row r="56" spans="1:10" ht="15.75" x14ac:dyDescent="0.25">
      <c r="A56" s="21"/>
      <c r="B56" s="21"/>
      <c r="C56" s="71" t="s">
        <v>23</v>
      </c>
      <c r="D56" s="71"/>
      <c r="E56" s="60"/>
      <c r="F56" s="60"/>
      <c r="G56" s="72"/>
      <c r="H56" s="72"/>
      <c r="I56" s="72"/>
      <c r="J56" s="72"/>
    </row>
    <row r="57" spans="1:10" x14ac:dyDescent="0.25">
      <c r="A57" s="1"/>
      <c r="B57" s="1"/>
      <c r="C57" s="1"/>
      <c r="D57" s="1"/>
      <c r="E57" s="60"/>
      <c r="F57" s="60"/>
      <c r="G57" s="60"/>
      <c r="H57" s="60"/>
      <c r="I57" s="60"/>
      <c r="J57" s="60"/>
    </row>
    <row r="58" spans="1:10" x14ac:dyDescent="0.25">
      <c r="A58" s="65" t="s">
        <v>24</v>
      </c>
      <c r="B58" s="65"/>
      <c r="C58" s="60"/>
      <c r="D58" s="60"/>
      <c r="E58" s="60"/>
      <c r="F58" s="60"/>
      <c r="G58" s="60"/>
      <c r="H58" s="60"/>
      <c r="I58" s="60"/>
      <c r="J58" s="60"/>
    </row>
    <row r="59" spans="1:10" x14ac:dyDescent="0.25">
      <c r="A59" s="65" t="s">
        <v>26</v>
      </c>
      <c r="B59" s="65"/>
      <c r="C59" s="60"/>
      <c r="D59" s="60"/>
      <c r="E59" s="60"/>
      <c r="F59" s="60"/>
      <c r="G59" s="60"/>
      <c r="H59" s="60"/>
      <c r="I59" s="60"/>
      <c r="J59" s="60"/>
    </row>
  </sheetData>
  <mergeCells count="25">
    <mergeCell ref="A31:E31"/>
    <mergeCell ref="A32:A35"/>
    <mergeCell ref="A21:E21"/>
    <mergeCell ref="A3:A6"/>
    <mergeCell ref="A26:A30"/>
    <mergeCell ref="A22:A24"/>
    <mergeCell ref="A25:E25"/>
    <mergeCell ref="A14:A20"/>
    <mergeCell ref="B1:C1"/>
    <mergeCell ref="G1:J1"/>
    <mergeCell ref="A7:E7"/>
    <mergeCell ref="A8:A12"/>
    <mergeCell ref="A13:E13"/>
    <mergeCell ref="A36:E36"/>
    <mergeCell ref="A37:A38"/>
    <mergeCell ref="A39:E39"/>
    <mergeCell ref="A40:A44"/>
    <mergeCell ref="A45:E45"/>
    <mergeCell ref="A58:B58"/>
    <mergeCell ref="A59:B59"/>
    <mergeCell ref="A46:A52"/>
    <mergeCell ref="A53:E53"/>
    <mergeCell ref="A55:J55"/>
    <mergeCell ref="C56:D56"/>
    <mergeCell ref="G56:J5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2023-01-20T10:18:15Z</dcterms:modified>
</cp:coreProperties>
</file>