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61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1" l="1"/>
  <c r="I55" i="1"/>
  <c r="H55" i="1"/>
  <c r="G55" i="1"/>
  <c r="J52" i="1"/>
  <c r="I52" i="1"/>
  <c r="H52" i="1"/>
  <c r="G52" i="1"/>
  <c r="J51" i="1"/>
  <c r="I51" i="1"/>
  <c r="H51" i="1"/>
  <c r="G51" i="1"/>
  <c r="J47" i="1"/>
  <c r="I47" i="1"/>
  <c r="H47" i="1"/>
  <c r="G47" i="1"/>
  <c r="J45" i="1"/>
  <c r="I45" i="1"/>
  <c r="H45" i="1"/>
  <c r="G45" i="1"/>
  <c r="H41" i="1"/>
  <c r="I41" i="1"/>
  <c r="G41" i="1"/>
  <c r="J41" i="1"/>
  <c r="J38" i="1" l="1"/>
  <c r="I38" i="1"/>
  <c r="H38" i="1"/>
  <c r="G38" i="1"/>
  <c r="J28" i="1" l="1"/>
  <c r="I28" i="1"/>
  <c r="H28" i="1"/>
  <c r="G28" i="1"/>
  <c r="J22" i="1"/>
  <c r="I22" i="1"/>
  <c r="H22" i="1"/>
  <c r="G22" i="1"/>
  <c r="J26" i="1"/>
  <c r="I26" i="1"/>
  <c r="H26" i="1"/>
  <c r="G26" i="1"/>
  <c r="J14" i="1" l="1"/>
  <c r="I14" i="1"/>
  <c r="H14" i="1"/>
  <c r="G14" i="1"/>
  <c r="I12" i="1"/>
  <c r="H12" i="1"/>
  <c r="G12" i="1"/>
  <c r="J8" i="1"/>
  <c r="I8" i="1"/>
  <c r="H8" i="1"/>
  <c r="G8" i="1"/>
  <c r="J5" i="1" l="1"/>
  <c r="I5" i="1"/>
  <c r="H5" i="1"/>
  <c r="G5" i="1"/>
  <c r="J3" i="1"/>
  <c r="I3" i="1"/>
  <c r="H3" i="1"/>
  <c r="G3" i="1"/>
  <c r="J50" i="1" l="1"/>
  <c r="I50" i="1"/>
  <c r="H50" i="1"/>
  <c r="G50" i="1"/>
  <c r="J49" i="1"/>
  <c r="I49" i="1"/>
  <c r="H49" i="1"/>
  <c r="G49" i="1"/>
  <c r="J44" i="1"/>
  <c r="I44" i="1"/>
  <c r="H44" i="1"/>
  <c r="G44" i="1"/>
  <c r="J43" i="1"/>
  <c r="I43" i="1"/>
  <c r="H43" i="1"/>
  <c r="G43" i="1"/>
  <c r="J35" i="1" l="1"/>
  <c r="I35" i="1"/>
  <c r="H35" i="1"/>
  <c r="G35" i="1"/>
  <c r="J33" i="1"/>
  <c r="I33" i="1"/>
  <c r="H33" i="1"/>
  <c r="G33" i="1"/>
  <c r="J30" i="1"/>
  <c r="I30" i="1"/>
  <c r="H30" i="1"/>
  <c r="G30" i="1"/>
  <c r="J29" i="1"/>
  <c r="I29" i="1"/>
  <c r="H29" i="1"/>
  <c r="G29" i="1"/>
  <c r="J16" i="1"/>
  <c r="I16" i="1"/>
  <c r="H16" i="1"/>
  <c r="G16" i="1"/>
  <c r="J12" i="1"/>
  <c r="J11" i="1"/>
  <c r="I11" i="1"/>
  <c r="H11" i="1"/>
  <c r="G11" i="1"/>
  <c r="G9" i="1"/>
  <c r="H9" i="1"/>
  <c r="I9" i="1"/>
  <c r="J9" i="1"/>
  <c r="F9" i="1"/>
  <c r="J4" i="1"/>
  <c r="I4" i="1"/>
  <c r="H4" i="1"/>
  <c r="G4" i="1"/>
  <c r="J19" i="1" l="1"/>
  <c r="I19" i="1"/>
  <c r="H19" i="1"/>
  <c r="G19" i="1"/>
  <c r="J18" i="1"/>
  <c r="I18" i="1"/>
  <c r="H18" i="1"/>
  <c r="G18" i="1"/>
  <c r="J17" i="1"/>
  <c r="I17" i="1"/>
  <c r="H17" i="1"/>
  <c r="G17" i="1"/>
  <c r="H56" i="1" l="1"/>
  <c r="G56" i="1"/>
  <c r="I56" i="1"/>
  <c r="J56" i="1"/>
  <c r="F56" i="1"/>
  <c r="F48" i="1"/>
  <c r="I48" i="1"/>
  <c r="G48" i="1"/>
  <c r="J48" i="1" l="1"/>
  <c r="H48" i="1"/>
  <c r="I42" i="1" l="1"/>
  <c r="G42" i="1"/>
  <c r="F42" i="1"/>
  <c r="J42" i="1"/>
  <c r="H42" i="1"/>
  <c r="F39" i="1"/>
  <c r="J36" i="1"/>
  <c r="J39" i="1" s="1"/>
  <c r="I36" i="1"/>
  <c r="I39" i="1" s="1"/>
  <c r="H36" i="1"/>
  <c r="H39" i="1" s="1"/>
  <c r="G36" i="1"/>
  <c r="G39" i="1"/>
  <c r="I34" i="1"/>
  <c r="F34" i="1"/>
  <c r="J34" i="1"/>
  <c r="G34" i="1" l="1"/>
  <c r="H34" i="1"/>
  <c r="F23" i="1"/>
  <c r="G27" i="1" l="1"/>
  <c r="J23" i="1" l="1"/>
  <c r="I23" i="1"/>
  <c r="H23" i="1"/>
  <c r="G23" i="1"/>
  <c r="J10" i="1"/>
  <c r="I10" i="1"/>
  <c r="H10" i="1"/>
  <c r="G10" i="1"/>
  <c r="F15" i="1" l="1"/>
  <c r="J15" i="1" l="1"/>
  <c r="I15" i="1"/>
  <c r="H15" i="1"/>
  <c r="G15" i="1"/>
  <c r="F27" i="1" l="1"/>
  <c r="J27" i="1"/>
  <c r="I27" i="1"/>
  <c r="H27" i="1"/>
</calcChain>
</file>

<file path=xl/sharedStrings.xml><?xml version="1.0" encoding="utf-8"?>
<sst xmlns="http://schemas.openxmlformats.org/spreadsheetml/2006/main" count="181" uniqueCount="73">
  <si>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</si>
  <si>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</si>
  <si>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</si>
  <si>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</si>
  <si>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</si>
  <si>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</si>
  <si>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</si>
  <si>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</si>
  <si>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</si>
  <si>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</si>
  <si>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</si>
  <si>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</si>
  <si>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</si>
  <si>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</si>
  <si>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</si>
  <si>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</si>
  <si>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</si>
  <si>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</si>
  <si>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</si>
  <si>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</si>
  <si>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</si>
  <si>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</si>
  <si>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</si>
  <si>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</si>
  <si>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</si>
  <si>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</si>
  <si>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</si>
  <si>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</si>
  <si>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</si>
  <si>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</si>
  <si>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</si>
  <si>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</si>
  <si>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Кондитерское изделие</t>
  </si>
  <si>
    <t>ПР</t>
  </si>
  <si>
    <t>Фрукт</t>
  </si>
  <si>
    <t>№338-2015г.</t>
  </si>
  <si>
    <t>Пюре картофельное</t>
  </si>
  <si>
    <t>№312-2015г.</t>
  </si>
  <si>
    <t>250/10/2</t>
  </si>
  <si>
    <t>№96-2015г.</t>
  </si>
  <si>
    <t>Рассольник ленинградский со сметаной и зеленью</t>
  </si>
  <si>
    <t>Напиток</t>
  </si>
  <si>
    <t>ТТК №26</t>
  </si>
  <si>
    <t>Котлета "Нежная" из цыплят и свинины</t>
  </si>
  <si>
    <t>№309-2015г.</t>
  </si>
  <si>
    <t>Макароны отварные</t>
  </si>
  <si>
    <t>№71-2015г.</t>
  </si>
  <si>
    <t>Овощи натуральные свежие (помидоры)</t>
  </si>
  <si>
    <t>№306-2015г.</t>
  </si>
  <si>
    <t>Завтрак льготный 5-11 кл</t>
  </si>
  <si>
    <t>Завтрак бюджетный 1-я смена и полдник для детей-инвалидов 2-я смена 5-11 кл</t>
  </si>
  <si>
    <t>Обед дети-инвалиды 5-11 кл 1 смена</t>
  </si>
  <si>
    <t>Завтрак 5-11 кл с доплатой 70,00 руб. и льготники с доплатой 50,00 руб.; ДМГ 77,00 1 смена</t>
  </si>
  <si>
    <t>Обед 6-7 кл. с доплатой 70,00 руб. и льготники с доплатой 50,00 руб.; ДМГ 77,00 2-я смена</t>
  </si>
  <si>
    <t>№389-2015г.</t>
  </si>
  <si>
    <t>Сок фруктовый</t>
  </si>
  <si>
    <t>Мучное изделие</t>
  </si>
  <si>
    <t>№424-2015г.</t>
  </si>
  <si>
    <t>Булочка домашняя</t>
  </si>
  <si>
    <t>ТТК №16</t>
  </si>
  <si>
    <t>Филе минтая запечёное</t>
  </si>
  <si>
    <t>Бобовые отварные (горошек зелёный консервированный)</t>
  </si>
  <si>
    <t>Завтрак 1-4 кл и дети-инвалиды 1 смена</t>
  </si>
  <si>
    <t xml:space="preserve">Обед дети-инвалиды 1-4 кл 1 смена </t>
  </si>
  <si>
    <t>Пряник</t>
  </si>
  <si>
    <t>Овощи натуральные свежие (огурцы)</t>
  </si>
  <si>
    <t>Напиток (сладкое блюдо)</t>
  </si>
  <si>
    <t>№349-2015г.</t>
  </si>
  <si>
    <t>Компот из смеси сухофруктов</t>
  </si>
  <si>
    <t>Апельсин свежий (порция)</t>
  </si>
  <si>
    <t>ТТК №6</t>
  </si>
  <si>
    <t>Булочка "Рулетик с маком"</t>
  </si>
  <si>
    <t>Печенье "Курабье"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</si>
</sst>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3">
    <xf numFmtId="0" fontId="0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9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/>
    <xf numFmtId="2" fontId="7" fillId="0" borderId="2" xfId="0" applyNumberFormat="1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2" fontId="6" fillId="0" borderId="4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2" fontId="6" fillId="0" borderId="12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2" fontId="6" fillId="0" borderId="14" xfId="0" applyNumberFormat="1" applyFont="1" applyBorder="1" applyAlignment="1">
      <alignment vertical="center" wrapText="1"/>
    </xf>
    <xf numFmtId="2" fontId="6" fillId="0" borderId="15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right" vertical="center" wrapText="1"/>
    </xf>
    <xf numFmtId="2" fontId="6" fillId="0" borderId="9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2" fontId="6" fillId="0" borderId="14" xfId="0" applyNumberFormat="1" applyFont="1" applyBorder="1" applyAlignment="1">
      <alignment horizontal="right" vertical="center" wrapText="1"/>
    </xf>
    <xf numFmtId="2" fontId="7" fillId="0" borderId="7" xfId="0" applyNumberFormat="1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0" xfId="0" applyFont="1"/>
    <xf numFmtId="0" fontId="6" fillId="0" borderId="0" xfId="0" applyFont="1"/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/>
    <xf numFmtId="0" fontId="6" fillId="0" borderId="26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4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0" fontId="6" fillId="0" borderId="0" xfId="0" applyFont="1"/>
    <xf numFmtId="4" fontId="6" fillId="0" borderId="14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left" vertical="center" wrapText="1"/>
    </xf>
    <xf numFmtId="2" fontId="10" fillId="0" borderId="4" xfId="1" applyNumberFormat="1" applyFont="1" applyBorder="1" applyAlignment="1">
      <alignment horizontal="righ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0" xfId="0" applyFont="1"/>
    <xf numFmtId="0" fontId="12" fillId="0" borderId="4" xfId="1" applyFont="1" applyBorder="1" applyAlignment="1">
      <alignment vertical="center" wrapText="1"/>
    </xf>
    <xf numFmtId="2" fontId="10" fillId="0" borderId="12" xfId="1" applyNumberFormat="1" applyFont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right" vertical="center" wrapText="1"/>
    </xf>
    <xf numFmtId="4" fontId="10" fillId="0" borderId="12" xfId="0" applyNumberFormat="1" applyFont="1" applyBorder="1" applyAlignment="1">
      <alignment horizontal="right" vertical="center" wrapText="1"/>
    </xf>
    <xf numFmtId="0" fontId="11" fillId="0" borderId="8" xfId="0" applyFont="1" applyBorder="1" applyAlignment="1">
      <alignment horizontal="left" vertical="center" wrapText="1"/>
    </xf>
    <xf numFmtId="0" fontId="6" fillId="0" borderId="0" xfId="0" applyFont="1"/>
    <xf numFmtId="0" fontId="6" fillId="0" borderId="0" xfId="0" applyFont="1"/>
    <xf numFmtId="0" fontId="6" fillId="0" borderId="0" xfId="0" applyFont="1"/>
    <xf numFmtId="2" fontId="6" fillId="0" borderId="15" xfId="0" applyNumberFormat="1" applyFont="1" applyBorder="1" applyAlignment="1">
      <alignment horizontal="right" vertical="center" wrapText="1"/>
    </xf>
    <xf numFmtId="2" fontId="7" fillId="0" borderId="32" xfId="0" applyNumberFormat="1" applyFont="1" applyBorder="1" applyAlignment="1">
      <alignment vertical="center" wrapText="1"/>
    </xf>
    <xf numFmtId="2" fontId="7" fillId="0" borderId="33" xfId="0" applyNumberFormat="1" applyFont="1" applyBorder="1" applyAlignment="1">
      <alignment vertical="center" wrapText="1"/>
    </xf>
    <xf numFmtId="2" fontId="7" fillId="0" borderId="34" xfId="0" applyNumberFormat="1" applyFont="1" applyBorder="1" applyAlignment="1">
      <alignment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/>
    <xf numFmtId="0" fontId="6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righ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4" fontId="9" fillId="0" borderId="18" xfId="0" applyNumberFormat="1" applyFont="1" applyBorder="1" applyAlignment="1">
      <alignment horizontal="center" vertical="center" wrapText="1"/>
    </xf>
    <xf numFmtId="14" fontId="9" fillId="0" borderId="19" xfId="0" applyNumberFormat="1" applyFont="1" applyBorder="1" applyAlignment="1">
      <alignment horizontal="center" vertical="center" wrapText="1"/>
    </xf>
    <xf numFmtId="14" fontId="9" fillId="0" borderId="20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righ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right" vertical="center" wrapText="1"/>
    </xf>
    <xf numFmtId="0" fontId="7" fillId="0" borderId="31" xfId="0" applyFont="1" applyBorder="1" applyAlignment="1">
      <alignment horizontal="right" vertical="center" wrapText="1"/>
    </xf>
    <xf numFmtId="0" fontId="7" fillId="0" borderId="34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33" xfId="0" applyFont="1" applyBorder="1" applyAlignment="1">
      <alignment horizontal="right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2" fontId="6" fillId="0" borderId="4" xfId="0" applyNumberFormat="1" applyFont="1" applyBorder="1" applyAlignment="1">
      <alignment vertical="center" wrapText="1"/>
    </xf>
    <xf numFmtId="2" fontId="6" fillId="0" borderId="12" xfId="0" applyNumberFormat="1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 wrapText="1"/>
    </xf>
  </cellXfs>
  <cellStyles count="13">
    <cellStyle name="Обычный" xfId="0" builtinId="0"/>
    <cellStyle name="Обычный 2" xfId="1"/>
    <cellStyle name="Обычный 2 2" xfId="2"/>
    <cellStyle name="Обычный 2 2 2" xfId="8"/>
    <cellStyle name="Обычный 2 3" xfId="3"/>
    <cellStyle name="Обычный 2 4" xfId="4"/>
    <cellStyle name="Обычный 2 4 2" xfId="6"/>
    <cellStyle name="Обычный 2 4 3" xfId="9"/>
    <cellStyle name="Обычный 2 5" xfId="5"/>
    <cellStyle name="Обычный 2 6" xfId="7"/>
    <cellStyle name="Обычный 2 6 2" xfId="10"/>
    <cellStyle name="Обычный 2 7" xfId="11"/>
    <cellStyle name="Обычный 2 8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workbookViewId="0">
      <selection sqref="A1:A2"/>
    </sheetView>
  </sheetViews>
  <sheetFormatPr defaultRowHeight="15" x14ac:dyDescent="0.25"/>
  <cols>
    <col min="1" max="1" width="23" style="95" customWidth="1"/>
    <col min="2" max="2" width="21.7109375" style="2" customWidth="1"/>
    <col min="3" max="3" width="12.5703125" style="2" customWidth="1"/>
    <col min="4" max="4" width="57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98" t="s">
        <v>0</v>
      </c>
      <c r="B1" s="69" t="s">
        <v>21</v>
      </c>
      <c r="C1" s="70"/>
      <c r="D1" s="1" t="s">
        <v>1</v>
      </c>
      <c r="E1" s="23"/>
      <c r="F1" s="1" t="s">
        <v>2</v>
      </c>
      <c r="G1" s="71">
        <v>44951</v>
      </c>
      <c r="H1" s="72"/>
      <c r="I1" s="72"/>
      <c r="J1" s="73"/>
      <c r="K1" s="1"/>
      <c r="L1" s="1"/>
    </row>
    <row r="2" spans="1:12" ht="15.75" thickBot="1" x14ac:dyDescent="0.3">
      <c r="A2" s="26" t="s">
        <v>3</v>
      </c>
      <c r="B2" s="4" t="s">
        <v>4</v>
      </c>
      <c r="C2" s="27" t="s">
        <v>5</v>
      </c>
      <c r="D2" s="30" t="s">
        <v>6</v>
      </c>
      <c r="E2" s="30" t="s">
        <v>7</v>
      </c>
      <c r="F2" s="30" t="s">
        <v>8</v>
      </c>
      <c r="G2" s="4" t="s">
        <v>9</v>
      </c>
      <c r="H2" s="4" t="s">
        <v>10</v>
      </c>
      <c r="I2" s="4" t="s">
        <v>11</v>
      </c>
      <c r="J2" s="28" t="s">
        <v>12</v>
      </c>
    </row>
    <row r="3" spans="1:12" s="49" customFormat="1" x14ac:dyDescent="0.25">
      <c r="A3" s="92" t="s">
        <v>62</v>
      </c>
      <c r="B3" s="20" t="s">
        <v>28</v>
      </c>
      <c r="C3" s="21" t="s">
        <v>46</v>
      </c>
      <c r="D3" s="21" t="s">
        <v>65</v>
      </c>
      <c r="E3" s="13">
        <v>20</v>
      </c>
      <c r="F3" s="14">
        <v>8.34</v>
      </c>
      <c r="G3" s="14">
        <f>6*0.4</f>
        <v>2.4000000000000004</v>
      </c>
      <c r="H3" s="14">
        <f>0.35*0.4</f>
        <v>0.13999999999999999</v>
      </c>
      <c r="I3" s="14">
        <f>0.05*0.4</f>
        <v>2.0000000000000004E-2</v>
      </c>
      <c r="J3" s="15">
        <f>0.95*0.4</f>
        <v>0.38</v>
      </c>
      <c r="K3"/>
    </row>
    <row r="4" spans="1:12" x14ac:dyDescent="0.25">
      <c r="A4" s="76"/>
      <c r="B4" s="7" t="s">
        <v>13</v>
      </c>
      <c r="C4" s="34" t="s">
        <v>59</v>
      </c>
      <c r="D4" s="34" t="s">
        <v>60</v>
      </c>
      <c r="E4" s="16">
        <v>75</v>
      </c>
      <c r="F4" s="6">
        <v>57.81</v>
      </c>
      <c r="G4" s="35">
        <f>71/50*75</f>
        <v>106.5</v>
      </c>
      <c r="H4" s="35">
        <f>8.8/50*75</f>
        <v>13.200000000000001</v>
      </c>
      <c r="I4" s="35">
        <f>3.1/50*75</f>
        <v>4.6500000000000004</v>
      </c>
      <c r="J4" s="36">
        <f>1.9/50*75</f>
        <v>2.85</v>
      </c>
    </row>
    <row r="5" spans="1:12" s="42" customFormat="1" ht="15.75" x14ac:dyDescent="0.25">
      <c r="A5" s="76"/>
      <c r="B5" s="7" t="s">
        <v>17</v>
      </c>
      <c r="C5" s="41" t="s">
        <v>37</v>
      </c>
      <c r="D5" s="43" t="s">
        <v>36</v>
      </c>
      <c r="E5" s="16">
        <v>150</v>
      </c>
      <c r="F5" s="6">
        <v>16.78</v>
      </c>
      <c r="G5" s="40">
        <f>915*0.15</f>
        <v>137.25</v>
      </c>
      <c r="H5" s="40">
        <f>20.43*0.15</f>
        <v>3.0644999999999998</v>
      </c>
      <c r="I5" s="40">
        <f>32.01*0.15</f>
        <v>4.8014999999999999</v>
      </c>
      <c r="J5" s="44">
        <f>136.26*0.15</f>
        <v>20.438999999999997</v>
      </c>
      <c r="K5"/>
    </row>
    <row r="6" spans="1:12" s="42" customFormat="1" ht="30" x14ac:dyDescent="0.25">
      <c r="A6" s="76"/>
      <c r="B6" s="7" t="s">
        <v>66</v>
      </c>
      <c r="C6" s="5" t="s">
        <v>67</v>
      </c>
      <c r="D6" s="5" t="s">
        <v>68</v>
      </c>
      <c r="E6" s="16">
        <v>200</v>
      </c>
      <c r="F6" s="6">
        <v>6.08</v>
      </c>
      <c r="G6" s="6">
        <v>132.80000000000001</v>
      </c>
      <c r="H6" s="6">
        <v>0.66</v>
      </c>
      <c r="I6" s="6">
        <v>0.09</v>
      </c>
      <c r="J6" s="8">
        <v>32.01</v>
      </c>
      <c r="K6"/>
    </row>
    <row r="7" spans="1:12" s="33" customFormat="1" x14ac:dyDescent="0.25">
      <c r="A7" s="76"/>
      <c r="B7" s="7" t="s">
        <v>32</v>
      </c>
      <c r="C7" s="5" t="s">
        <v>33</v>
      </c>
      <c r="D7" s="5" t="s">
        <v>64</v>
      </c>
      <c r="E7" s="16">
        <v>35</v>
      </c>
      <c r="F7" s="6">
        <v>7.35</v>
      </c>
      <c r="G7" s="6">
        <v>122.5</v>
      </c>
      <c r="H7" s="6">
        <v>1.75</v>
      </c>
      <c r="I7" s="6">
        <v>2.1</v>
      </c>
      <c r="J7" s="8">
        <v>24.15</v>
      </c>
    </row>
    <row r="8" spans="1:12" s="32" customFormat="1" ht="15.75" thickBot="1" x14ac:dyDescent="0.3">
      <c r="A8" s="93"/>
      <c r="B8" s="9" t="s">
        <v>14</v>
      </c>
      <c r="C8" s="10" t="s">
        <v>29</v>
      </c>
      <c r="D8" s="10" t="s">
        <v>30</v>
      </c>
      <c r="E8" s="17">
        <v>20.5</v>
      </c>
      <c r="F8" s="18">
        <v>0.79</v>
      </c>
      <c r="G8" s="18">
        <f>229.7*0.205</f>
        <v>47.088499999999996</v>
      </c>
      <c r="H8" s="11">
        <f>6.7*0.205</f>
        <v>1.3734999999999999</v>
      </c>
      <c r="I8" s="11">
        <f>1.1*0.205</f>
        <v>0.22550000000000001</v>
      </c>
      <c r="J8" s="12">
        <f>48.3*0.205</f>
        <v>9.9014999999999986</v>
      </c>
    </row>
    <row r="9" spans="1:12" ht="16.5" thickBot="1" x14ac:dyDescent="0.3">
      <c r="A9" s="66" t="s">
        <v>15</v>
      </c>
      <c r="B9" s="67"/>
      <c r="C9" s="67"/>
      <c r="D9" s="67"/>
      <c r="E9" s="68"/>
      <c r="F9" s="52">
        <f>SUM(F3:F8)</f>
        <v>97.15</v>
      </c>
      <c r="G9" s="52">
        <f t="shared" ref="G9:J9" si="0">SUM(G3:G8)</f>
        <v>548.5385</v>
      </c>
      <c r="H9" s="52">
        <f t="shared" si="0"/>
        <v>20.188000000000002</v>
      </c>
      <c r="I9" s="52">
        <f t="shared" si="0"/>
        <v>11.886999999999999</v>
      </c>
      <c r="J9" s="52">
        <f t="shared" si="0"/>
        <v>89.730499999999992</v>
      </c>
    </row>
    <row r="10" spans="1:12" x14ac:dyDescent="0.25">
      <c r="A10" s="59" t="s">
        <v>63</v>
      </c>
      <c r="B10" s="20" t="s">
        <v>16</v>
      </c>
      <c r="C10" s="21" t="s">
        <v>39</v>
      </c>
      <c r="D10" s="21" t="s">
        <v>40</v>
      </c>
      <c r="E10" s="13" t="s">
        <v>38</v>
      </c>
      <c r="F10" s="14">
        <v>15.5</v>
      </c>
      <c r="G10" s="14">
        <f>429*0.25+162*0.1</f>
        <v>123.45</v>
      </c>
      <c r="H10" s="14">
        <f>8.07*0.25+2.6*0.1</f>
        <v>2.2774999999999999</v>
      </c>
      <c r="I10" s="14">
        <f>20.36*0.25+15*0.1</f>
        <v>6.59</v>
      </c>
      <c r="J10" s="15">
        <f>47.92*0.25+3.6*0.1</f>
        <v>12.34</v>
      </c>
      <c r="K10"/>
    </row>
    <row r="11" spans="1:12" x14ac:dyDescent="0.25">
      <c r="A11" s="59"/>
      <c r="B11" s="7" t="s">
        <v>13</v>
      </c>
      <c r="C11" s="34" t="s">
        <v>42</v>
      </c>
      <c r="D11" s="34" t="s">
        <v>43</v>
      </c>
      <c r="E11" s="16">
        <v>25</v>
      </c>
      <c r="F11" s="6">
        <v>12.15</v>
      </c>
      <c r="G11" s="35">
        <f>155.6/50*25</f>
        <v>77.8</v>
      </c>
      <c r="H11" s="35">
        <f>7/50*25</f>
        <v>3.5000000000000004</v>
      </c>
      <c r="I11" s="35">
        <f>11.1/50*25</f>
        <v>5.55</v>
      </c>
      <c r="J11" s="36">
        <f>7/50*25</f>
        <v>3.5000000000000004</v>
      </c>
      <c r="K11"/>
    </row>
    <row r="12" spans="1:12" s="42" customFormat="1" x14ac:dyDescent="0.25">
      <c r="A12" s="59"/>
      <c r="B12" s="7" t="s">
        <v>17</v>
      </c>
      <c r="C12" s="5" t="s">
        <v>44</v>
      </c>
      <c r="D12" s="5" t="s">
        <v>45</v>
      </c>
      <c r="E12" s="16">
        <v>110</v>
      </c>
      <c r="F12" s="6">
        <v>11.06</v>
      </c>
      <c r="G12" s="45">
        <f>112.3*1.1</f>
        <v>123.53</v>
      </c>
      <c r="H12" s="45">
        <f>3.68*1.1</f>
        <v>4.0480000000000009</v>
      </c>
      <c r="I12" s="45">
        <f>3.01*1.1</f>
        <v>3.3109999999999999</v>
      </c>
      <c r="J12" s="46">
        <f>17.63*1.2</f>
        <v>21.155999999999999</v>
      </c>
    </row>
    <row r="13" spans="1:12" s="24" customFormat="1" x14ac:dyDescent="0.25">
      <c r="A13" s="59"/>
      <c r="B13" s="7" t="s">
        <v>18</v>
      </c>
      <c r="C13" s="5" t="s">
        <v>19</v>
      </c>
      <c r="D13" s="5" t="s">
        <v>20</v>
      </c>
      <c r="E13" s="16" t="s">
        <v>31</v>
      </c>
      <c r="F13" s="6">
        <v>2.99</v>
      </c>
      <c r="G13" s="6">
        <v>60</v>
      </c>
      <c r="H13" s="6">
        <v>7.0000000000000007E-2</v>
      </c>
      <c r="I13" s="6">
        <v>0.02</v>
      </c>
      <c r="J13" s="8">
        <v>15</v>
      </c>
    </row>
    <row r="14" spans="1:12" ht="15.75" thickBot="1" x14ac:dyDescent="0.3">
      <c r="A14" s="59"/>
      <c r="B14" s="9" t="s">
        <v>14</v>
      </c>
      <c r="C14" s="10" t="s">
        <v>29</v>
      </c>
      <c r="D14" s="10" t="s">
        <v>30</v>
      </c>
      <c r="E14" s="17">
        <v>15</v>
      </c>
      <c r="F14" s="18">
        <v>0.59</v>
      </c>
      <c r="G14" s="18">
        <f>229.7*0.15</f>
        <v>34.454999999999998</v>
      </c>
      <c r="H14" s="11">
        <f>6.7*0.15</f>
        <v>1.0049999999999999</v>
      </c>
      <c r="I14" s="11">
        <f>1.1*0.15</f>
        <v>0.16500000000000001</v>
      </c>
      <c r="J14" s="12">
        <f>48.3*0.15</f>
        <v>7.2449999999999992</v>
      </c>
    </row>
    <row r="15" spans="1:12" ht="16.5" thickBot="1" x14ac:dyDescent="0.3">
      <c r="A15" s="74" t="s">
        <v>15</v>
      </c>
      <c r="B15" s="67"/>
      <c r="C15" s="67"/>
      <c r="D15" s="67"/>
      <c r="E15" s="75"/>
      <c r="F15" s="19">
        <f>SUM(F10:F14)</f>
        <v>42.290000000000006</v>
      </c>
      <c r="G15" s="19">
        <f t="shared" ref="G15:J15" si="1">SUM(G10:G14)</f>
        <v>419.23499999999996</v>
      </c>
      <c r="H15" s="19">
        <f t="shared" si="1"/>
        <v>10.900500000000001</v>
      </c>
      <c r="I15" s="19">
        <f t="shared" si="1"/>
        <v>15.635999999999999</v>
      </c>
      <c r="J15" s="19">
        <f t="shared" si="1"/>
        <v>59.240999999999993</v>
      </c>
    </row>
    <row r="16" spans="1:12" s="49" customFormat="1" ht="15.75" x14ac:dyDescent="0.25">
      <c r="A16" s="63" t="s">
        <v>26</v>
      </c>
      <c r="B16" s="47" t="s">
        <v>28</v>
      </c>
      <c r="C16" s="39" t="s">
        <v>46</v>
      </c>
      <c r="D16" s="39" t="s">
        <v>47</v>
      </c>
      <c r="E16" s="13">
        <v>30</v>
      </c>
      <c r="F16" s="14">
        <v>5.32</v>
      </c>
      <c r="G16" s="14">
        <f>11/50*30</f>
        <v>6.6</v>
      </c>
      <c r="H16" s="14">
        <f>0.55/50*30</f>
        <v>0.33</v>
      </c>
      <c r="I16" s="14">
        <f>0.1/50*30</f>
        <v>0.06</v>
      </c>
      <c r="J16" s="15">
        <f>1.9/50*30</f>
        <v>1.1399999999999999</v>
      </c>
    </row>
    <row r="17" spans="1:11" s="31" customFormat="1" x14ac:dyDescent="0.25">
      <c r="A17" s="64"/>
      <c r="B17" s="7" t="s">
        <v>16</v>
      </c>
      <c r="C17" s="5" t="s">
        <v>39</v>
      </c>
      <c r="D17" s="5" t="s">
        <v>40</v>
      </c>
      <c r="E17" s="16" t="s">
        <v>38</v>
      </c>
      <c r="F17" s="6">
        <v>15.5</v>
      </c>
      <c r="G17" s="6">
        <f>429*0.25+162*0.1</f>
        <v>123.45</v>
      </c>
      <c r="H17" s="6">
        <f>8.07*0.25+2.6*0.1</f>
        <v>2.2774999999999999</v>
      </c>
      <c r="I17" s="6">
        <f>20.36*0.25+15*0.1</f>
        <v>6.59</v>
      </c>
      <c r="J17" s="8">
        <f>47.92*0.25+3.6*0.1</f>
        <v>12.34</v>
      </c>
    </row>
    <row r="18" spans="1:11" s="37" customFormat="1" x14ac:dyDescent="0.25">
      <c r="A18" s="64"/>
      <c r="B18" s="7" t="s">
        <v>13</v>
      </c>
      <c r="C18" s="34" t="s">
        <v>42</v>
      </c>
      <c r="D18" s="34" t="s">
        <v>43</v>
      </c>
      <c r="E18" s="16">
        <v>75</v>
      </c>
      <c r="F18" s="6">
        <v>36.46</v>
      </c>
      <c r="G18" s="35">
        <f>155.6/50*75</f>
        <v>233.4</v>
      </c>
      <c r="H18" s="35">
        <f>7/50*75</f>
        <v>10.500000000000002</v>
      </c>
      <c r="I18" s="35">
        <f>11.1/50*75</f>
        <v>16.649999999999999</v>
      </c>
      <c r="J18" s="36">
        <f>7/50*75</f>
        <v>10.500000000000002</v>
      </c>
      <c r="K18"/>
    </row>
    <row r="19" spans="1:11" s="42" customFormat="1" x14ac:dyDescent="0.25">
      <c r="A19" s="64"/>
      <c r="B19" s="7" t="s">
        <v>17</v>
      </c>
      <c r="C19" s="5" t="s">
        <v>44</v>
      </c>
      <c r="D19" s="5" t="s">
        <v>45</v>
      </c>
      <c r="E19" s="16">
        <v>120</v>
      </c>
      <c r="F19" s="6">
        <v>12.06</v>
      </c>
      <c r="G19" s="45">
        <f>112.3*1.2</f>
        <v>134.76</v>
      </c>
      <c r="H19" s="45">
        <f>3.68*1.2</f>
        <v>4.4160000000000004</v>
      </c>
      <c r="I19" s="45">
        <f>3.01*1.2</f>
        <v>3.6119999999999997</v>
      </c>
      <c r="J19" s="46">
        <f>17.63*1.2</f>
        <v>21.155999999999999</v>
      </c>
      <c r="K19"/>
    </row>
    <row r="20" spans="1:11" s="29" customFormat="1" x14ac:dyDescent="0.25">
      <c r="A20" s="64"/>
      <c r="B20" s="7" t="s">
        <v>41</v>
      </c>
      <c r="C20" s="5" t="s">
        <v>54</v>
      </c>
      <c r="D20" s="5" t="s">
        <v>55</v>
      </c>
      <c r="E20" s="16">
        <v>200</v>
      </c>
      <c r="F20" s="6">
        <v>21.71</v>
      </c>
      <c r="G20" s="6">
        <v>104</v>
      </c>
      <c r="H20" s="6">
        <v>0.6</v>
      </c>
      <c r="I20" s="6">
        <v>0.2</v>
      </c>
      <c r="J20" s="8">
        <v>23.6</v>
      </c>
    </row>
    <row r="21" spans="1:11" s="49" customFormat="1" x14ac:dyDescent="0.25">
      <c r="A21" s="64"/>
      <c r="B21" s="7" t="s">
        <v>56</v>
      </c>
      <c r="C21" s="5" t="s">
        <v>57</v>
      </c>
      <c r="D21" s="5" t="s">
        <v>58</v>
      </c>
      <c r="E21" s="16">
        <v>50</v>
      </c>
      <c r="F21" s="6">
        <v>4.16</v>
      </c>
      <c r="G21" s="6">
        <v>159</v>
      </c>
      <c r="H21" s="6">
        <v>3.64</v>
      </c>
      <c r="I21" s="6">
        <v>6.26</v>
      </c>
      <c r="J21" s="8">
        <v>21.96</v>
      </c>
    </row>
    <row r="22" spans="1:11" s="29" customFormat="1" ht="15.75" thickBot="1" x14ac:dyDescent="0.3">
      <c r="A22" s="65"/>
      <c r="B22" s="9" t="s">
        <v>14</v>
      </c>
      <c r="C22" s="10" t="s">
        <v>29</v>
      </c>
      <c r="D22" s="10" t="s">
        <v>30</v>
      </c>
      <c r="E22" s="17">
        <v>50</v>
      </c>
      <c r="F22" s="18">
        <v>1.94</v>
      </c>
      <c r="G22" s="18">
        <f>229.7*0.5</f>
        <v>114.85</v>
      </c>
      <c r="H22" s="11">
        <f>6.7*0.5</f>
        <v>3.35</v>
      </c>
      <c r="I22" s="11">
        <f>1.1*0.5</f>
        <v>0.55000000000000004</v>
      </c>
      <c r="J22" s="12">
        <f>48.3*0.5</f>
        <v>24.15</v>
      </c>
    </row>
    <row r="23" spans="1:11" s="25" customFormat="1" ht="16.5" thickBot="1" x14ac:dyDescent="0.3">
      <c r="A23" s="66" t="s">
        <v>15</v>
      </c>
      <c r="B23" s="67"/>
      <c r="C23" s="67"/>
      <c r="D23" s="67"/>
      <c r="E23" s="68"/>
      <c r="F23" s="19">
        <f>SUM(F16:F22)</f>
        <v>97.15</v>
      </c>
      <c r="G23" s="19">
        <f t="shared" ref="G23:J23" si="2">SUM(G16:G22)</f>
        <v>876.06000000000006</v>
      </c>
      <c r="H23" s="19">
        <f t="shared" si="2"/>
        <v>25.113500000000005</v>
      </c>
      <c r="I23" s="19">
        <f t="shared" si="2"/>
        <v>33.92199999999999</v>
      </c>
      <c r="J23" s="19">
        <f t="shared" si="2"/>
        <v>114.846</v>
      </c>
      <c r="K23"/>
    </row>
    <row r="24" spans="1:11" s="37" customFormat="1" x14ac:dyDescent="0.25">
      <c r="A24" s="59" t="s">
        <v>27</v>
      </c>
      <c r="B24" s="20" t="s">
        <v>18</v>
      </c>
      <c r="C24" s="21" t="s">
        <v>19</v>
      </c>
      <c r="D24" s="21" t="s">
        <v>20</v>
      </c>
      <c r="E24" s="13" t="s">
        <v>31</v>
      </c>
      <c r="F24" s="14">
        <v>2.99</v>
      </c>
      <c r="G24" s="14">
        <v>60</v>
      </c>
      <c r="H24" s="14">
        <v>7.0000000000000007E-2</v>
      </c>
      <c r="I24" s="14">
        <v>0.02</v>
      </c>
      <c r="J24" s="15">
        <v>15</v>
      </c>
      <c r="K24"/>
    </row>
    <row r="25" spans="1:11" s="37" customFormat="1" x14ac:dyDescent="0.25">
      <c r="A25" s="59"/>
      <c r="B25" s="7" t="s">
        <v>32</v>
      </c>
      <c r="C25" s="5" t="s">
        <v>33</v>
      </c>
      <c r="D25" s="5" t="s">
        <v>64</v>
      </c>
      <c r="E25" s="16">
        <v>35</v>
      </c>
      <c r="F25" s="6">
        <v>7.35</v>
      </c>
      <c r="G25" s="6">
        <v>122.5</v>
      </c>
      <c r="H25" s="6">
        <v>1.75</v>
      </c>
      <c r="I25" s="6">
        <v>2.1</v>
      </c>
      <c r="J25" s="8">
        <v>24.15</v>
      </c>
      <c r="K25"/>
    </row>
    <row r="26" spans="1:11" s="37" customFormat="1" ht="15.75" thickBot="1" x14ac:dyDescent="0.3">
      <c r="A26" s="59"/>
      <c r="B26" s="9" t="s">
        <v>34</v>
      </c>
      <c r="C26" s="10" t="s">
        <v>35</v>
      </c>
      <c r="D26" s="10" t="s">
        <v>69</v>
      </c>
      <c r="E26" s="17">
        <v>190</v>
      </c>
      <c r="F26" s="18">
        <v>31.95</v>
      </c>
      <c r="G26" s="38">
        <f>43*1.9</f>
        <v>81.7</v>
      </c>
      <c r="H26" s="38">
        <f>0.9*1.9</f>
        <v>1.71</v>
      </c>
      <c r="I26" s="38">
        <f>0.2*1.9</f>
        <v>0.38</v>
      </c>
      <c r="J26" s="88">
        <f>8.1*1.9</f>
        <v>15.389999999999999</v>
      </c>
      <c r="K26"/>
    </row>
    <row r="27" spans="1:11" s="37" customFormat="1" ht="16.5" thickBot="1" x14ac:dyDescent="0.3">
      <c r="A27" s="60" t="s">
        <v>15</v>
      </c>
      <c r="B27" s="61"/>
      <c r="C27" s="61"/>
      <c r="D27" s="61"/>
      <c r="E27" s="62"/>
      <c r="F27" s="3">
        <f>SUM(F24:F26)</f>
        <v>42.29</v>
      </c>
      <c r="G27" s="3">
        <f>SUM(G24:G26)</f>
        <v>264.2</v>
      </c>
      <c r="H27" s="3">
        <f>SUM(H24:H26)</f>
        <v>3.5300000000000002</v>
      </c>
      <c r="I27" s="3">
        <f>SUM(I24:I26)</f>
        <v>2.5</v>
      </c>
      <c r="J27" s="3">
        <f>SUM(J24:J26)</f>
        <v>54.54</v>
      </c>
      <c r="K27"/>
    </row>
    <row r="28" spans="1:11" x14ac:dyDescent="0.25">
      <c r="A28" s="76" t="s">
        <v>52</v>
      </c>
      <c r="B28" s="20" t="s">
        <v>28</v>
      </c>
      <c r="C28" s="21" t="s">
        <v>46</v>
      </c>
      <c r="D28" s="21" t="s">
        <v>65</v>
      </c>
      <c r="E28" s="13">
        <v>20</v>
      </c>
      <c r="F28" s="14">
        <v>8.34</v>
      </c>
      <c r="G28" s="14">
        <f>6*0.4</f>
        <v>2.4000000000000004</v>
      </c>
      <c r="H28" s="14">
        <f>0.35*0.4</f>
        <v>0.13999999999999999</v>
      </c>
      <c r="I28" s="14">
        <f>0.05*0.4</f>
        <v>2.0000000000000004E-2</v>
      </c>
      <c r="J28" s="15">
        <f>0.95*0.4</f>
        <v>0.38</v>
      </c>
    </row>
    <row r="29" spans="1:11" s="49" customFormat="1" x14ac:dyDescent="0.25">
      <c r="A29" s="76"/>
      <c r="B29" s="7" t="s">
        <v>13</v>
      </c>
      <c r="C29" s="34" t="s">
        <v>59</v>
      </c>
      <c r="D29" s="34" t="s">
        <v>60</v>
      </c>
      <c r="E29" s="16">
        <v>50</v>
      </c>
      <c r="F29" s="6">
        <v>38.54</v>
      </c>
      <c r="G29" s="35">
        <f>71/50*50</f>
        <v>71</v>
      </c>
      <c r="H29" s="35">
        <f>8.8/50*50</f>
        <v>8.8000000000000007</v>
      </c>
      <c r="I29" s="35">
        <f>3.1/50*50</f>
        <v>3.1</v>
      </c>
      <c r="J29" s="36">
        <f>1.9/50*50</f>
        <v>1.9</v>
      </c>
    </row>
    <row r="30" spans="1:11" ht="15.75" x14ac:dyDescent="0.25">
      <c r="A30" s="76"/>
      <c r="B30" s="7" t="s">
        <v>17</v>
      </c>
      <c r="C30" s="41" t="s">
        <v>37</v>
      </c>
      <c r="D30" s="43" t="s">
        <v>36</v>
      </c>
      <c r="E30" s="16">
        <v>150</v>
      </c>
      <c r="F30" s="6">
        <v>16.78</v>
      </c>
      <c r="G30" s="40">
        <f>915*0.15</f>
        <v>137.25</v>
      </c>
      <c r="H30" s="40">
        <f>20.43*0.15</f>
        <v>3.0644999999999998</v>
      </c>
      <c r="I30" s="40">
        <f>32.01*0.15</f>
        <v>4.8014999999999999</v>
      </c>
      <c r="J30" s="44">
        <f>136.26*0.15</f>
        <v>20.438999999999997</v>
      </c>
    </row>
    <row r="31" spans="1:11" ht="30" x14ac:dyDescent="0.25">
      <c r="A31" s="76"/>
      <c r="B31" s="7" t="s">
        <v>66</v>
      </c>
      <c r="C31" s="5" t="s">
        <v>67</v>
      </c>
      <c r="D31" s="5" t="s">
        <v>68</v>
      </c>
      <c r="E31" s="16">
        <v>200</v>
      </c>
      <c r="F31" s="6">
        <v>6.08</v>
      </c>
      <c r="G31" s="6">
        <v>132.80000000000001</v>
      </c>
      <c r="H31" s="6">
        <v>0.66</v>
      </c>
      <c r="I31" s="6">
        <v>0.09</v>
      </c>
      <c r="J31" s="8">
        <v>32.01</v>
      </c>
    </row>
    <row r="32" spans="1:11" x14ac:dyDescent="0.25">
      <c r="A32" s="76"/>
      <c r="B32" s="7" t="s">
        <v>56</v>
      </c>
      <c r="C32" s="5" t="s">
        <v>70</v>
      </c>
      <c r="D32" s="5" t="s">
        <v>71</v>
      </c>
      <c r="E32" s="16">
        <v>50</v>
      </c>
      <c r="F32" s="6">
        <v>6.92</v>
      </c>
      <c r="G32" s="6">
        <v>198.6</v>
      </c>
      <c r="H32" s="89">
        <v>4.0999999999999996</v>
      </c>
      <c r="I32" s="89">
        <v>7.7</v>
      </c>
      <c r="J32" s="90">
        <v>28.2</v>
      </c>
    </row>
    <row r="33" spans="1:10" ht="15.75" thickBot="1" x14ac:dyDescent="0.3">
      <c r="A33" s="76"/>
      <c r="B33" s="9" t="s">
        <v>14</v>
      </c>
      <c r="C33" s="10" t="s">
        <v>29</v>
      </c>
      <c r="D33" s="10" t="s">
        <v>30</v>
      </c>
      <c r="E33" s="17">
        <v>9.5</v>
      </c>
      <c r="F33" s="18">
        <v>0.34</v>
      </c>
      <c r="G33" s="18">
        <f>229.7*0.095</f>
        <v>21.8215</v>
      </c>
      <c r="H33" s="11">
        <f>6.7*0.095</f>
        <v>0.63650000000000007</v>
      </c>
      <c r="I33" s="11">
        <f>1.1*0.095</f>
        <v>0.10450000000000001</v>
      </c>
      <c r="J33" s="12">
        <f>48.3*0.095</f>
        <v>4.5884999999999998</v>
      </c>
    </row>
    <row r="34" spans="1:10" ht="16.5" thickBot="1" x14ac:dyDescent="0.3">
      <c r="A34" s="77" t="s">
        <v>15</v>
      </c>
      <c r="B34" s="67"/>
      <c r="C34" s="67"/>
      <c r="D34" s="67"/>
      <c r="E34" s="75"/>
      <c r="F34" s="19">
        <f>SUM(F28:F33)</f>
        <v>77</v>
      </c>
      <c r="G34" s="19">
        <f>SUM(G28:G33)</f>
        <v>563.87150000000008</v>
      </c>
      <c r="H34" s="19">
        <f>SUM(H28:H33)</f>
        <v>17.401</v>
      </c>
      <c r="I34" s="19">
        <f>SUM(I28:I33)</f>
        <v>15.816000000000001</v>
      </c>
      <c r="J34" s="19">
        <f>SUM(J28:J33)</f>
        <v>87.517499999999998</v>
      </c>
    </row>
    <row r="35" spans="1:10" ht="15.75" x14ac:dyDescent="0.25">
      <c r="A35" s="78" t="s">
        <v>49</v>
      </c>
      <c r="B35" s="47" t="s">
        <v>28</v>
      </c>
      <c r="C35" s="39" t="s">
        <v>48</v>
      </c>
      <c r="D35" s="39" t="s">
        <v>61</v>
      </c>
      <c r="E35" s="13">
        <v>12</v>
      </c>
      <c r="F35" s="14">
        <v>6.74</v>
      </c>
      <c r="G35" s="14">
        <f>592*0.012</f>
        <v>7.1040000000000001</v>
      </c>
      <c r="H35" s="14">
        <f>28.85*0.012</f>
        <v>0.34620000000000001</v>
      </c>
      <c r="I35" s="14">
        <f>27.24*0.012</f>
        <v>0.32688</v>
      </c>
      <c r="J35" s="15">
        <f>57.86*0.012</f>
        <v>0.69432000000000005</v>
      </c>
    </row>
    <row r="36" spans="1:10" ht="15.75" x14ac:dyDescent="0.25">
      <c r="A36" s="79"/>
      <c r="B36" s="7" t="s">
        <v>17</v>
      </c>
      <c r="C36" s="41" t="s">
        <v>37</v>
      </c>
      <c r="D36" s="43" t="s">
        <v>36</v>
      </c>
      <c r="E36" s="16">
        <v>150</v>
      </c>
      <c r="F36" s="6">
        <v>16.78</v>
      </c>
      <c r="G36" s="40">
        <f>915*0.15</f>
        <v>137.25</v>
      </c>
      <c r="H36" s="40">
        <f>20.43*0.15</f>
        <v>3.0644999999999998</v>
      </c>
      <c r="I36" s="40">
        <f>32.01*0.15</f>
        <v>4.8014999999999999</v>
      </c>
      <c r="J36" s="44">
        <f>136.26*0.15</f>
        <v>20.438999999999997</v>
      </c>
    </row>
    <row r="37" spans="1:10" x14ac:dyDescent="0.25">
      <c r="A37" s="79"/>
      <c r="B37" s="7" t="s">
        <v>18</v>
      </c>
      <c r="C37" s="5" t="s">
        <v>19</v>
      </c>
      <c r="D37" s="5" t="s">
        <v>20</v>
      </c>
      <c r="E37" s="16" t="s">
        <v>31</v>
      </c>
      <c r="F37" s="6">
        <v>3.07</v>
      </c>
      <c r="G37" s="6">
        <v>60</v>
      </c>
      <c r="H37" s="6">
        <v>7.0000000000000007E-2</v>
      </c>
      <c r="I37" s="6">
        <v>0.02</v>
      </c>
      <c r="J37" s="8">
        <v>15</v>
      </c>
    </row>
    <row r="38" spans="1:10" ht="15.75" thickBot="1" x14ac:dyDescent="0.3">
      <c r="A38" s="80"/>
      <c r="B38" s="9" t="s">
        <v>14</v>
      </c>
      <c r="C38" s="10" t="s">
        <v>29</v>
      </c>
      <c r="D38" s="10" t="s">
        <v>30</v>
      </c>
      <c r="E38" s="17">
        <v>10.6</v>
      </c>
      <c r="F38" s="18">
        <v>0.41</v>
      </c>
      <c r="G38" s="18">
        <f>229.7*0.106</f>
        <v>24.348199999999999</v>
      </c>
      <c r="H38" s="11">
        <f>6.7*0.106</f>
        <v>0.71020000000000005</v>
      </c>
      <c r="I38" s="11">
        <f>1.1*0.106</f>
        <v>0.11660000000000001</v>
      </c>
      <c r="J38" s="12">
        <f>48.3*0.106</f>
        <v>5.1197999999999997</v>
      </c>
    </row>
    <row r="39" spans="1:10" ht="16.5" thickBot="1" x14ac:dyDescent="0.3">
      <c r="A39" s="81" t="s">
        <v>15</v>
      </c>
      <c r="B39" s="67"/>
      <c r="C39" s="67"/>
      <c r="D39" s="67"/>
      <c r="E39" s="75"/>
      <c r="F39" s="19">
        <f>SUM(F35:F38)</f>
        <v>27.000000000000004</v>
      </c>
      <c r="G39" s="19">
        <f>SUM(G35:G38)</f>
        <v>228.7022</v>
      </c>
      <c r="H39" s="19">
        <f>SUM(H35:H38)</f>
        <v>4.1909000000000001</v>
      </c>
      <c r="I39" s="19">
        <f>SUM(I35:I38)</f>
        <v>5.2649799999999995</v>
      </c>
      <c r="J39" s="19">
        <f>SUM(J35:J38)</f>
        <v>41.253119999999996</v>
      </c>
    </row>
    <row r="40" spans="1:10" x14ac:dyDescent="0.25">
      <c r="A40" s="63" t="s">
        <v>50</v>
      </c>
      <c r="B40" s="20" t="s">
        <v>18</v>
      </c>
      <c r="C40" s="21" t="s">
        <v>19</v>
      </c>
      <c r="D40" s="21" t="s">
        <v>20</v>
      </c>
      <c r="E40" s="13" t="s">
        <v>31</v>
      </c>
      <c r="F40" s="14">
        <v>2.99</v>
      </c>
      <c r="G40" s="14">
        <v>60</v>
      </c>
      <c r="H40" s="14">
        <v>7.0000000000000007E-2</v>
      </c>
      <c r="I40" s="14">
        <v>0.02</v>
      </c>
      <c r="J40" s="15">
        <v>15</v>
      </c>
    </row>
    <row r="41" spans="1:10" ht="44.25" customHeight="1" thickBot="1" x14ac:dyDescent="0.3">
      <c r="A41" s="65"/>
      <c r="B41" s="9" t="s">
        <v>32</v>
      </c>
      <c r="C41" s="10" t="s">
        <v>33</v>
      </c>
      <c r="D41" s="10" t="s">
        <v>72</v>
      </c>
      <c r="E41" s="17">
        <v>14</v>
      </c>
      <c r="F41" s="18">
        <v>4.01</v>
      </c>
      <c r="G41" s="18">
        <f>470*0.14</f>
        <v>65.800000000000011</v>
      </c>
      <c r="H41" s="18">
        <f>8.2*0.14</f>
        <v>1.1479999999999999</v>
      </c>
      <c r="I41" s="18">
        <f>17.5*0.14</f>
        <v>2.4500000000000002</v>
      </c>
      <c r="J41" s="51">
        <f>70*0.14</f>
        <v>9.8000000000000007</v>
      </c>
    </row>
    <row r="42" spans="1:10" ht="16.5" thickBot="1" x14ac:dyDescent="0.3">
      <c r="A42" s="66" t="s">
        <v>15</v>
      </c>
      <c r="B42" s="82"/>
      <c r="C42" s="82"/>
      <c r="D42" s="82"/>
      <c r="E42" s="83"/>
      <c r="F42" s="19">
        <f>SUM(F40:F41)</f>
        <v>7</v>
      </c>
      <c r="G42" s="19">
        <f>SUM(G40:G41)</f>
        <v>125.80000000000001</v>
      </c>
      <c r="H42" s="19">
        <f t="shared" ref="H42:J42" si="3">SUM(H40:H41)</f>
        <v>1.218</v>
      </c>
      <c r="I42" s="19">
        <f t="shared" si="3"/>
        <v>2.4700000000000002</v>
      </c>
      <c r="J42" s="19">
        <f t="shared" si="3"/>
        <v>24.8</v>
      </c>
    </row>
    <row r="43" spans="1:10" s="49" customFormat="1" x14ac:dyDescent="0.25">
      <c r="A43" s="94" t="s">
        <v>51</v>
      </c>
      <c r="B43" s="20" t="s">
        <v>16</v>
      </c>
      <c r="C43" s="21" t="s">
        <v>39</v>
      </c>
      <c r="D43" s="21" t="s">
        <v>40</v>
      </c>
      <c r="E43" s="13" t="s">
        <v>38</v>
      </c>
      <c r="F43" s="14">
        <v>15.5</v>
      </c>
      <c r="G43" s="14">
        <f>429*0.25+162*0.1</f>
        <v>123.45</v>
      </c>
      <c r="H43" s="14">
        <f>8.07*0.25+2.6*0.1</f>
        <v>2.2774999999999999</v>
      </c>
      <c r="I43" s="14">
        <f>20.36*0.25+15*0.1</f>
        <v>6.59</v>
      </c>
      <c r="J43" s="15">
        <f>47.92*0.25+3.6*0.1</f>
        <v>12.34</v>
      </c>
    </row>
    <row r="44" spans="1:10" s="49" customFormat="1" x14ac:dyDescent="0.25">
      <c r="A44" s="94"/>
      <c r="B44" s="7" t="s">
        <v>13</v>
      </c>
      <c r="C44" s="34" t="s">
        <v>42</v>
      </c>
      <c r="D44" s="34" t="s">
        <v>43</v>
      </c>
      <c r="E44" s="16">
        <v>25</v>
      </c>
      <c r="F44" s="6">
        <v>12.15</v>
      </c>
      <c r="G44" s="35">
        <f>155.6/50*25</f>
        <v>77.8</v>
      </c>
      <c r="H44" s="35">
        <f>7/50*25</f>
        <v>3.5000000000000004</v>
      </c>
      <c r="I44" s="35">
        <f>11.1/50*25</f>
        <v>5.55</v>
      </c>
      <c r="J44" s="36">
        <f>7/50*25</f>
        <v>3.5000000000000004</v>
      </c>
    </row>
    <row r="45" spans="1:10" s="49" customFormat="1" x14ac:dyDescent="0.25">
      <c r="A45" s="94"/>
      <c r="B45" s="7" t="s">
        <v>17</v>
      </c>
      <c r="C45" s="5" t="s">
        <v>44</v>
      </c>
      <c r="D45" s="5" t="s">
        <v>45</v>
      </c>
      <c r="E45" s="16">
        <v>130</v>
      </c>
      <c r="F45" s="6">
        <v>13.07</v>
      </c>
      <c r="G45" s="45">
        <f>112.3*1.3</f>
        <v>145.99</v>
      </c>
      <c r="H45" s="45">
        <f>3.68*1.3</f>
        <v>4.7840000000000007</v>
      </c>
      <c r="I45" s="45">
        <f>3.01*1.3</f>
        <v>3.9129999999999998</v>
      </c>
      <c r="J45" s="46">
        <f>17.63*1.3</f>
        <v>22.919</v>
      </c>
    </row>
    <row r="46" spans="1:10" s="49" customFormat="1" x14ac:dyDescent="0.25">
      <c r="A46" s="94"/>
      <c r="B46" s="7" t="s">
        <v>18</v>
      </c>
      <c r="C46" s="5" t="s">
        <v>19</v>
      </c>
      <c r="D46" s="5" t="s">
        <v>20</v>
      </c>
      <c r="E46" s="16" t="s">
        <v>31</v>
      </c>
      <c r="F46" s="6">
        <v>2.99</v>
      </c>
      <c r="G46" s="6">
        <v>60</v>
      </c>
      <c r="H46" s="6">
        <v>7.0000000000000007E-2</v>
      </c>
      <c r="I46" s="6">
        <v>0.02</v>
      </c>
      <c r="J46" s="8">
        <v>15</v>
      </c>
    </row>
    <row r="47" spans="1:10" s="49" customFormat="1" ht="15.75" thickBot="1" x14ac:dyDescent="0.3">
      <c r="A47" s="94"/>
      <c r="B47" s="9" t="s">
        <v>14</v>
      </c>
      <c r="C47" s="10" t="s">
        <v>29</v>
      </c>
      <c r="D47" s="10" t="s">
        <v>30</v>
      </c>
      <c r="E47" s="17">
        <v>33.5</v>
      </c>
      <c r="F47" s="18">
        <v>1.29</v>
      </c>
      <c r="G47" s="18">
        <f>229.7*0.335</f>
        <v>76.9495</v>
      </c>
      <c r="H47" s="11">
        <f>6.7*0.335</f>
        <v>2.2445000000000004</v>
      </c>
      <c r="I47" s="11">
        <f>1.1*0.335</f>
        <v>0.36850000000000005</v>
      </c>
      <c r="J47" s="12">
        <f>48.3*0.335</f>
        <v>16.180499999999999</v>
      </c>
    </row>
    <row r="48" spans="1:10" s="49" customFormat="1" ht="16.5" thickBot="1" x14ac:dyDescent="0.3">
      <c r="A48" s="66" t="s">
        <v>15</v>
      </c>
      <c r="B48" s="86"/>
      <c r="C48" s="86"/>
      <c r="D48" s="86"/>
      <c r="E48" s="87"/>
      <c r="F48" s="53">
        <f>SUM(F43:F47)</f>
        <v>45</v>
      </c>
      <c r="G48" s="53">
        <f>SUM(G43:G47)</f>
        <v>484.18950000000001</v>
      </c>
      <c r="H48" s="53">
        <f>SUM(H43:H47)</f>
        <v>12.876000000000001</v>
      </c>
      <c r="I48" s="53">
        <f>SUM(I43:I47)</f>
        <v>16.441500000000001</v>
      </c>
      <c r="J48" s="53">
        <f>SUM(J43:J47)</f>
        <v>69.939499999999995</v>
      </c>
    </row>
    <row r="49" spans="1:10" ht="15.75" x14ac:dyDescent="0.25">
      <c r="A49" s="59" t="s">
        <v>53</v>
      </c>
      <c r="B49" s="47" t="s">
        <v>28</v>
      </c>
      <c r="C49" s="39" t="s">
        <v>46</v>
      </c>
      <c r="D49" s="39" t="s">
        <v>47</v>
      </c>
      <c r="E49" s="13">
        <v>30</v>
      </c>
      <c r="F49" s="14">
        <v>5.32</v>
      </c>
      <c r="G49" s="14">
        <f>11/50*30</f>
        <v>6.6</v>
      </c>
      <c r="H49" s="14">
        <f>0.55/50*30</f>
        <v>0.33</v>
      </c>
      <c r="I49" s="14">
        <f>0.1/50*30</f>
        <v>0.06</v>
      </c>
      <c r="J49" s="15">
        <f>1.9/50*30</f>
        <v>1.1399999999999999</v>
      </c>
    </row>
    <row r="50" spans="1:10" s="50" customFormat="1" x14ac:dyDescent="0.25">
      <c r="A50" s="59"/>
      <c r="B50" s="7" t="s">
        <v>16</v>
      </c>
      <c r="C50" s="5" t="s">
        <v>39</v>
      </c>
      <c r="D50" s="5" t="s">
        <v>40</v>
      </c>
      <c r="E50" s="16" t="s">
        <v>38</v>
      </c>
      <c r="F50" s="6">
        <v>15.5</v>
      </c>
      <c r="G50" s="6">
        <f>429*0.25+162*0.1</f>
        <v>123.45</v>
      </c>
      <c r="H50" s="6">
        <f>8.07*0.25+2.6*0.1</f>
        <v>2.2774999999999999</v>
      </c>
      <c r="I50" s="6">
        <f>20.36*0.25+15*0.1</f>
        <v>6.59</v>
      </c>
      <c r="J50" s="8">
        <f>47.92*0.25+3.6*0.1</f>
        <v>12.34</v>
      </c>
    </row>
    <row r="51" spans="1:10" s="50" customFormat="1" x14ac:dyDescent="0.25">
      <c r="A51" s="59"/>
      <c r="B51" s="7" t="s">
        <v>13</v>
      </c>
      <c r="C51" s="34" t="s">
        <v>42</v>
      </c>
      <c r="D51" s="34" t="s">
        <v>43</v>
      </c>
      <c r="E51" s="16">
        <v>75</v>
      </c>
      <c r="F51" s="6">
        <v>36.46</v>
      </c>
      <c r="G51" s="35">
        <f>155.6/50*75</f>
        <v>233.4</v>
      </c>
      <c r="H51" s="35">
        <f>7/50*75</f>
        <v>10.500000000000002</v>
      </c>
      <c r="I51" s="35">
        <f>11.1/50*75</f>
        <v>16.649999999999999</v>
      </c>
      <c r="J51" s="36">
        <f>7/50*75</f>
        <v>10.500000000000002</v>
      </c>
    </row>
    <row r="52" spans="1:10" x14ac:dyDescent="0.25">
      <c r="A52" s="59"/>
      <c r="B52" s="7" t="s">
        <v>17</v>
      </c>
      <c r="C52" s="5" t="s">
        <v>44</v>
      </c>
      <c r="D52" s="5" t="s">
        <v>45</v>
      </c>
      <c r="E52" s="16">
        <v>120</v>
      </c>
      <c r="F52" s="6">
        <v>12.06</v>
      </c>
      <c r="G52" s="45">
        <f>112.3*1.2</f>
        <v>134.76</v>
      </c>
      <c r="H52" s="45">
        <f>3.68*1.2</f>
        <v>4.4160000000000004</v>
      </c>
      <c r="I52" s="45">
        <f>3.01*1.2</f>
        <v>3.6119999999999997</v>
      </c>
      <c r="J52" s="46">
        <f>17.63*1.2</f>
        <v>21.155999999999999</v>
      </c>
    </row>
    <row r="53" spans="1:10" x14ac:dyDescent="0.25">
      <c r="A53" s="59"/>
      <c r="B53" s="7" t="s">
        <v>18</v>
      </c>
      <c r="C53" s="5" t="s">
        <v>19</v>
      </c>
      <c r="D53" s="5" t="s">
        <v>20</v>
      </c>
      <c r="E53" s="16" t="s">
        <v>31</v>
      </c>
      <c r="F53" s="6">
        <v>2.99</v>
      </c>
      <c r="G53" s="6">
        <v>60</v>
      </c>
      <c r="H53" s="6">
        <v>7.0000000000000007E-2</v>
      </c>
      <c r="I53" s="6">
        <v>0.02</v>
      </c>
      <c r="J53" s="8">
        <v>15</v>
      </c>
    </row>
    <row r="54" spans="1:10" x14ac:dyDescent="0.25">
      <c r="A54" s="59"/>
      <c r="B54" s="7" t="s">
        <v>56</v>
      </c>
      <c r="C54" s="5" t="s">
        <v>57</v>
      </c>
      <c r="D54" s="5" t="s">
        <v>58</v>
      </c>
      <c r="E54" s="16">
        <v>50</v>
      </c>
      <c r="F54" s="6">
        <v>4.16</v>
      </c>
      <c r="G54" s="6">
        <v>159</v>
      </c>
      <c r="H54" s="6">
        <v>3.64</v>
      </c>
      <c r="I54" s="6">
        <v>6.26</v>
      </c>
      <c r="J54" s="8">
        <v>21.96</v>
      </c>
    </row>
    <row r="55" spans="1:10" ht="15.75" thickBot="1" x14ac:dyDescent="0.3">
      <c r="A55" s="59"/>
      <c r="B55" s="9" t="s">
        <v>14</v>
      </c>
      <c r="C55" s="10" t="s">
        <v>29</v>
      </c>
      <c r="D55" s="10" t="s">
        <v>30</v>
      </c>
      <c r="E55" s="17">
        <v>13</v>
      </c>
      <c r="F55" s="18">
        <v>0.51</v>
      </c>
      <c r="G55" s="18">
        <f>229.7*0.13</f>
        <v>29.861000000000001</v>
      </c>
      <c r="H55" s="11">
        <f>6.7*0.13</f>
        <v>0.87100000000000011</v>
      </c>
      <c r="I55" s="11">
        <f>1.1*0.13</f>
        <v>0.14300000000000002</v>
      </c>
      <c r="J55" s="12">
        <f>48.3*0.13</f>
        <v>6.2789999999999999</v>
      </c>
    </row>
    <row r="56" spans="1:10" ht="16.5" thickBot="1" x14ac:dyDescent="0.3">
      <c r="A56" s="66" t="s">
        <v>15</v>
      </c>
      <c r="B56" s="84"/>
      <c r="C56" s="84"/>
      <c r="D56" s="84"/>
      <c r="E56" s="85"/>
      <c r="F56" s="54">
        <f>SUM(F49:F55)</f>
        <v>77</v>
      </c>
      <c r="G56" s="54">
        <f t="shared" ref="G56:J56" si="4">SUM(G49:G55)</f>
        <v>747.07100000000003</v>
      </c>
      <c r="H56" s="54">
        <f t="shared" si="4"/>
        <v>22.104500000000002</v>
      </c>
      <c r="I56" s="54">
        <f t="shared" si="4"/>
        <v>33.334999999999994</v>
      </c>
      <c r="J56" s="54">
        <f t="shared" si="4"/>
        <v>88.375</v>
      </c>
    </row>
    <row r="57" spans="1:10" x14ac:dyDescent="0.25">
      <c r="B57" s="49"/>
      <c r="C57" s="49"/>
      <c r="D57" s="49"/>
      <c r="E57" s="49"/>
      <c r="F57" s="49"/>
      <c r="G57" s="49"/>
      <c r="H57" s="49"/>
      <c r="I57" s="49"/>
      <c r="J57" s="49"/>
    </row>
    <row r="58" spans="1:10" ht="15.75" thickBot="1" x14ac:dyDescent="0.3">
      <c r="A58" s="58" t="s">
        <v>24</v>
      </c>
      <c r="B58" s="58"/>
      <c r="C58" s="58"/>
      <c r="D58" s="58"/>
      <c r="E58" s="58"/>
      <c r="F58" s="58"/>
      <c r="G58" s="58"/>
      <c r="H58" s="58"/>
      <c r="I58" s="58"/>
      <c r="J58" s="58"/>
    </row>
    <row r="59" spans="1:10" ht="15.75" x14ac:dyDescent="0.25">
      <c r="A59" s="96"/>
      <c r="B59" s="22"/>
      <c r="C59" s="55" t="s">
        <v>22</v>
      </c>
      <c r="D59" s="55"/>
      <c r="E59" s="49"/>
      <c r="F59" s="49"/>
      <c r="G59" s="56"/>
      <c r="H59" s="56"/>
      <c r="I59" s="56"/>
      <c r="J59" s="56"/>
    </row>
    <row r="60" spans="1:10" x14ac:dyDescent="0.25">
      <c r="A60" s="91"/>
      <c r="B60" s="1"/>
      <c r="C60" s="1"/>
      <c r="D60" s="1"/>
      <c r="E60" s="49"/>
      <c r="F60" s="49"/>
      <c r="G60" s="49"/>
      <c r="H60" s="49"/>
      <c r="I60" s="49"/>
      <c r="J60" s="49"/>
    </row>
    <row r="61" spans="1:10" x14ac:dyDescent="0.25">
      <c r="A61" s="57" t="s">
        <v>23</v>
      </c>
      <c r="B61" s="57"/>
      <c r="C61" s="49"/>
      <c r="D61" s="49"/>
      <c r="E61" s="49"/>
      <c r="F61" s="49"/>
      <c r="G61" s="49"/>
      <c r="H61" s="49"/>
      <c r="I61" s="49"/>
      <c r="J61" s="49"/>
    </row>
    <row r="62" spans="1:10" x14ac:dyDescent="0.25">
      <c r="A62" s="57" t="s">
        <v>25</v>
      </c>
      <c r="B62" s="57"/>
      <c r="C62" s="49"/>
      <c r="D62" s="49"/>
      <c r="E62" s="49"/>
      <c r="F62" s="49"/>
      <c r="G62" s="49"/>
      <c r="H62" s="49"/>
      <c r="I62" s="49"/>
      <c r="J62" s="49"/>
    </row>
    <row r="63" spans="1:10" x14ac:dyDescent="0.25">
      <c r="B63" s="48"/>
      <c r="C63" s="48"/>
      <c r="D63" s="48"/>
      <c r="E63" s="48"/>
      <c r="F63" s="48"/>
      <c r="G63" s="48"/>
      <c r="H63" s="48"/>
      <c r="I63" s="48"/>
      <c r="J63" s="48"/>
    </row>
    <row r="64" spans="1:10" customFormat="1" x14ac:dyDescent="0.25">
      <c r="A64" s="97"/>
    </row>
    <row r="65" spans="1:1" customFormat="1" x14ac:dyDescent="0.25">
      <c r="A65" s="97"/>
    </row>
    <row r="66" spans="1:1" customFormat="1" x14ac:dyDescent="0.25">
      <c r="A66" s="97"/>
    </row>
    <row r="67" spans="1:1" customFormat="1" x14ac:dyDescent="0.25">
      <c r="A67" s="97"/>
    </row>
    <row r="68" spans="1:1" customFormat="1" x14ac:dyDescent="0.25">
      <c r="A68" s="97"/>
    </row>
    <row r="69" spans="1:1" customFormat="1" x14ac:dyDescent="0.25">
      <c r="A69" s="97"/>
    </row>
    <row r="70" spans="1:1" customFormat="1" x14ac:dyDescent="0.25">
      <c r="A70" s="97"/>
    </row>
    <row r="71" spans="1:1" customFormat="1" x14ac:dyDescent="0.25">
      <c r="A71" s="97"/>
    </row>
  </sheetData>
  <mergeCells count="25">
    <mergeCell ref="A58:J58"/>
    <mergeCell ref="C59:D59"/>
    <mergeCell ref="G59:J59"/>
    <mergeCell ref="A61:B61"/>
    <mergeCell ref="A62:B62"/>
    <mergeCell ref="A42:E42"/>
    <mergeCell ref="A49:A55"/>
    <mergeCell ref="A56:E56"/>
    <mergeCell ref="A43:A47"/>
    <mergeCell ref="A48:E48"/>
    <mergeCell ref="A28:A33"/>
    <mergeCell ref="A34:E34"/>
    <mergeCell ref="A35:A38"/>
    <mergeCell ref="A39:E39"/>
    <mergeCell ref="A40:A41"/>
    <mergeCell ref="G1:J1"/>
    <mergeCell ref="A9:E9"/>
    <mergeCell ref="A10:A14"/>
    <mergeCell ref="A15:E15"/>
    <mergeCell ref="A3:A8"/>
    <mergeCell ref="A24:A26"/>
    <mergeCell ref="A27:E27"/>
    <mergeCell ref="A16:A22"/>
    <mergeCell ref="A23:E23"/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2023-01-24T12:38:01Z</dcterms:modified>
</cp:coreProperties>
</file>