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61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1" l="1"/>
  <c r="I51" i="1"/>
  <c r="H51" i="1"/>
  <c r="G51" i="1"/>
  <c r="J44" i="1" l="1"/>
  <c r="I44" i="1"/>
  <c r="H44" i="1"/>
  <c r="G44" i="1"/>
  <c r="J37" i="1"/>
  <c r="I37" i="1"/>
  <c r="H37" i="1"/>
  <c r="G37" i="1"/>
  <c r="J32" i="1" l="1"/>
  <c r="I32" i="1"/>
  <c r="H32" i="1"/>
  <c r="G32" i="1"/>
  <c r="J30" i="1"/>
  <c r="I30" i="1"/>
  <c r="H30" i="1"/>
  <c r="G30" i="1"/>
  <c r="J29" i="1"/>
  <c r="I29" i="1"/>
  <c r="H29" i="1"/>
  <c r="G29" i="1"/>
  <c r="J27" i="1"/>
  <c r="I27" i="1"/>
  <c r="H27" i="1"/>
  <c r="G27" i="1"/>
  <c r="J25" i="1"/>
  <c r="I25" i="1"/>
  <c r="H25" i="1"/>
  <c r="G25" i="1"/>
  <c r="J20" i="1"/>
  <c r="I20" i="1"/>
  <c r="H20" i="1"/>
  <c r="G20" i="1"/>
  <c r="J19" i="1"/>
  <c r="I19" i="1"/>
  <c r="H19" i="1"/>
  <c r="G19" i="1"/>
  <c r="J13" i="1" l="1"/>
  <c r="I13" i="1"/>
  <c r="H13" i="1"/>
  <c r="G13" i="1"/>
  <c r="J8" i="1"/>
  <c r="I8" i="1"/>
  <c r="H8" i="1"/>
  <c r="G8" i="1"/>
  <c r="J5" i="1" l="1"/>
  <c r="I5" i="1"/>
  <c r="H5" i="1"/>
  <c r="G5" i="1"/>
  <c r="J3" i="1"/>
  <c r="I3" i="1"/>
  <c r="H3" i="1"/>
  <c r="G3" i="1"/>
  <c r="J48" i="1" l="1"/>
  <c r="I48" i="1"/>
  <c r="H48" i="1"/>
  <c r="G48" i="1"/>
  <c r="J47" i="1"/>
  <c r="I47" i="1"/>
  <c r="H47" i="1"/>
  <c r="G47" i="1"/>
  <c r="J46" i="1"/>
  <c r="I46" i="1"/>
  <c r="H46" i="1"/>
  <c r="G46" i="1"/>
  <c r="J41" i="1"/>
  <c r="I41" i="1"/>
  <c r="H41" i="1"/>
  <c r="G41" i="1"/>
  <c r="J40" i="1"/>
  <c r="I40" i="1"/>
  <c r="H40" i="1"/>
  <c r="G40" i="1"/>
  <c r="J43" i="1"/>
  <c r="I43" i="1"/>
  <c r="H43" i="1"/>
  <c r="G43" i="1"/>
  <c r="J35" i="1" l="1"/>
  <c r="I35" i="1"/>
  <c r="H35" i="1"/>
  <c r="G35" i="1"/>
  <c r="J11" i="1" l="1"/>
  <c r="I11" i="1"/>
  <c r="H11" i="1"/>
  <c r="G11" i="1"/>
  <c r="J26" i="1" l="1"/>
  <c r="I26" i="1"/>
  <c r="H26" i="1"/>
  <c r="G26" i="1"/>
  <c r="J15" i="1"/>
  <c r="I15" i="1"/>
  <c r="H15" i="1"/>
  <c r="G15" i="1"/>
  <c r="J10" i="1"/>
  <c r="I10" i="1"/>
  <c r="H10" i="1"/>
  <c r="G10" i="1"/>
  <c r="F52" i="1" l="1"/>
  <c r="J23" i="1" l="1"/>
  <c r="I23" i="1"/>
  <c r="H23" i="1"/>
  <c r="G23" i="1"/>
  <c r="F21" i="1" l="1"/>
  <c r="J4" i="1" l="1"/>
  <c r="I4" i="1"/>
  <c r="H4" i="1"/>
  <c r="G4" i="1"/>
  <c r="J52" i="1" l="1"/>
  <c r="I52" i="1"/>
  <c r="H52" i="1"/>
  <c r="G52" i="1"/>
  <c r="F45" i="1"/>
  <c r="J45" i="1"/>
  <c r="I45" i="1"/>
  <c r="H45" i="1"/>
  <c r="G45" i="1"/>
  <c r="F39" i="1"/>
  <c r="J39" i="1"/>
  <c r="I39" i="1"/>
  <c r="H39" i="1"/>
  <c r="G39" i="1"/>
  <c r="F36" i="1"/>
  <c r="J33" i="1"/>
  <c r="I33" i="1"/>
  <c r="H33" i="1"/>
  <c r="G33" i="1"/>
  <c r="J36" i="1"/>
  <c r="I36" i="1"/>
  <c r="H36" i="1"/>
  <c r="G36" i="1"/>
  <c r="F31" i="1"/>
  <c r="G31" i="1"/>
  <c r="J31" i="1"/>
  <c r="I31" i="1"/>
  <c r="H31" i="1"/>
  <c r="J7" i="1" l="1"/>
  <c r="I7" i="1"/>
  <c r="H7" i="1"/>
  <c r="G7" i="1"/>
  <c r="J16" i="1" l="1"/>
  <c r="I16" i="1"/>
  <c r="H16" i="1"/>
  <c r="G16" i="1"/>
  <c r="J17" i="1" l="1"/>
  <c r="J21" i="1" s="1"/>
  <c r="I17" i="1"/>
  <c r="I21" i="1" s="1"/>
  <c r="H17" i="1"/>
  <c r="H21" i="1" s="1"/>
  <c r="G17" i="1"/>
  <c r="G21" i="1" s="1"/>
  <c r="F9" i="1" l="1"/>
  <c r="J9" i="1" l="1"/>
  <c r="I9" i="1"/>
  <c r="H9" i="1"/>
  <c r="G9" i="1"/>
  <c r="F14" i="1" l="1"/>
  <c r="J14" i="1" l="1"/>
  <c r="I14" i="1"/>
  <c r="H14" i="1"/>
  <c r="G14" i="1"/>
  <c r="F24" i="1"/>
  <c r="J24" i="1"/>
  <c r="I24" i="1"/>
  <c r="H24" i="1"/>
  <c r="G24" i="1"/>
</calcChain>
</file>

<file path=xl/sharedStrings.xml><?xml version="1.0" encoding="utf-8"?>
<sst xmlns="http://schemas.openxmlformats.org/spreadsheetml/2006/main" count="175" uniqueCount="79">
  <si>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</si>
  <si>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</si>
  <si>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</si>
  <si>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</si>
  <si>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</si>
  <si>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</si>
  <si>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</si>
  <si>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</si>
  <si>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</si>
  <si>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</si>
  <si>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</si>
  <si>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</si>
  <si>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</si>
  <si>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</si>
  <si>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</si>
  <si>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</si>
  <si>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</si>
  <si>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</si>
  <si>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</si>
  <si>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</si>
  <si>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</si>
  <si>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</si>
  <si>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</si>
  <si>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</si>
  <si>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</si>
  <si>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</si>
  <si>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</si>
  <si>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</si>
  <si>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</si>
  <si>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</si>
  <si>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</si>
  <si>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</si>
  <si>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</si>
  <si>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</si>
  <si>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</si>
  <si>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Завтрак льготный 5-11 кл</t>
  </si>
  <si>
    <t>Завтрак бюджетный 1-я смена и полдник для детей-инвалидов 2-я смена 5-11 кл</t>
  </si>
  <si>
    <t xml:space="preserve">Обед дети-инвалиды 5-11 кл 1 смена </t>
  </si>
  <si>
    <t>Кондитерское изделие</t>
  </si>
  <si>
    <t>ПР</t>
  </si>
  <si>
    <t>№304-2015г.</t>
  </si>
  <si>
    <t>Рис отварной</t>
  </si>
  <si>
    <t>№250-2015г.</t>
  </si>
  <si>
    <t>Бефстроганов</t>
  </si>
  <si>
    <t>№306-2015г.</t>
  </si>
  <si>
    <t>Фрукт</t>
  </si>
  <si>
    <t>№338-2015г.</t>
  </si>
  <si>
    <t>№111-2015г.</t>
  </si>
  <si>
    <t>№259-2015г.</t>
  </si>
  <si>
    <t>Жаркое по-домашнему из свинины</t>
  </si>
  <si>
    <t>50/125</t>
  </si>
  <si>
    <t>250/10/2</t>
  </si>
  <si>
    <t xml:space="preserve">Бобовые отварные (кукуруза сахарная консервированная) </t>
  </si>
  <si>
    <t>Напиток</t>
  </si>
  <si>
    <t>Суп с макаронными изделиями с цыплёнком и зеленью</t>
  </si>
  <si>
    <t>Молочный коктейль "Авишка" 2,5%</t>
  </si>
  <si>
    <t>200</t>
  </si>
  <si>
    <t>№425-2015г.</t>
  </si>
  <si>
    <t>Булочка дорожная</t>
  </si>
  <si>
    <t>№45-2015г.</t>
  </si>
  <si>
    <t>Салат из белокочанной капусты с морковью</t>
  </si>
  <si>
    <t>40/40</t>
  </si>
  <si>
    <t>30/30</t>
  </si>
  <si>
    <t>32/80</t>
  </si>
  <si>
    <t>Завтрак 5-11 кл с доплатой 70,00 руб. и льготники с доплатой 50,00 руб. 1 смена; ДМГ 77,00</t>
  </si>
  <si>
    <t>Печенье "Курабье"</t>
  </si>
  <si>
    <t>Обед 6-7 кл.  доплатой 70,00 руб. и льготники с доплатой 50,00 руб. 2-я смена; ДМГ 77,00</t>
  </si>
  <si>
    <t>40/100</t>
  </si>
  <si>
    <t>№686-2004г.</t>
  </si>
  <si>
    <t>Чай с лимоном</t>
  </si>
  <si>
    <t>200/15/7</t>
  </si>
  <si>
    <t>Суп с макаронными изделиями</t>
  </si>
  <si>
    <t>№379-2015г.</t>
  </si>
  <si>
    <t>Кофейный напиток с молоком</t>
  </si>
  <si>
    <t>Фрукт свежий (яблоко)</t>
  </si>
  <si>
    <t>№2-2015г.</t>
  </si>
  <si>
    <t>Бутерброд с повидлом</t>
  </si>
  <si>
    <t>20/29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</si>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</sst>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9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94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/>
    <xf numFmtId="2" fontId="7" fillId="0" borderId="2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2" fontId="6" fillId="0" borderId="5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vertical="center" wrapText="1"/>
    </xf>
    <xf numFmtId="2" fontId="6" fillId="0" borderId="13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2" fontId="6" fillId="0" borderId="15" xfId="0" applyNumberFormat="1" applyFont="1" applyBorder="1" applyAlignment="1">
      <alignment vertical="center" wrapText="1"/>
    </xf>
    <xf numFmtId="2" fontId="6" fillId="0" borderId="16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2" fontId="6" fillId="0" borderId="11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2" fontId="6" fillId="0" borderId="15" xfId="0" applyNumberFormat="1" applyFont="1" applyBorder="1" applyAlignment="1">
      <alignment horizontal="right" vertical="center" wrapText="1"/>
    </xf>
    <xf numFmtId="2" fontId="7" fillId="0" borderId="8" xfId="0" applyNumberFormat="1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2" fontId="7" fillId="0" borderId="22" xfId="0" applyNumberFormat="1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2" fontId="10" fillId="0" borderId="5" xfId="0" applyNumberFormat="1" applyFont="1" applyBorder="1" applyAlignment="1">
      <alignment horizontal="right" vertical="center" wrapText="1"/>
    </xf>
    <xf numFmtId="2" fontId="10" fillId="0" borderId="13" xfId="0" applyNumberFormat="1" applyFont="1" applyBorder="1" applyAlignment="1">
      <alignment horizontal="right" vertical="center" wrapText="1"/>
    </xf>
    <xf numFmtId="0" fontId="6" fillId="0" borderId="24" xfId="0" applyFont="1" applyBorder="1" applyAlignment="1">
      <alignment vertical="center" wrapText="1"/>
    </xf>
    <xf numFmtId="0" fontId="6" fillId="0" borderId="0" xfId="0" applyFont="1"/>
    <xf numFmtId="0" fontId="6" fillId="0" borderId="0" xfId="0" applyFont="1"/>
    <xf numFmtId="2" fontId="6" fillId="0" borderId="16" xfId="0" applyNumberFormat="1" applyFont="1" applyBorder="1" applyAlignment="1">
      <alignment horizontal="righ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4" fontId="6" fillId="0" borderId="15" xfId="0" applyNumberFormat="1" applyFont="1" applyBorder="1" applyAlignment="1">
      <alignment horizontal="right" vertical="center" wrapText="1"/>
    </xf>
    <xf numFmtId="0" fontId="6" fillId="0" borderId="0" xfId="0" applyFont="1"/>
    <xf numFmtId="0" fontId="6" fillId="0" borderId="0" xfId="0" applyFont="1"/>
    <xf numFmtId="2" fontId="7" fillId="0" borderId="30" xfId="0" applyNumberFormat="1" applyFont="1" applyBorder="1" applyAlignment="1">
      <alignment vertical="center" wrapText="1"/>
    </xf>
    <xf numFmtId="0" fontId="6" fillId="0" borderId="0" xfId="0" applyFont="1"/>
    <xf numFmtId="0" fontId="6" fillId="0" borderId="10" xfId="0" applyFont="1" applyBorder="1" applyAlignment="1">
      <alignment horizontal="left" vertical="center" wrapText="1"/>
    </xf>
    <xf numFmtId="2" fontId="6" fillId="0" borderId="5" xfId="0" applyNumberFormat="1" applyFont="1" applyBorder="1" applyAlignment="1">
      <alignment vertical="center" wrapText="1"/>
    </xf>
    <xf numFmtId="2" fontId="6" fillId="0" borderId="13" xfId="0" applyNumberFormat="1" applyFont="1" applyBorder="1" applyAlignment="1">
      <alignment vertical="center" wrapText="1"/>
    </xf>
    <xf numFmtId="0" fontId="6" fillId="0" borderId="0" xfId="0" applyFont="1"/>
    <xf numFmtId="0" fontId="6" fillId="0" borderId="9" xfId="0" applyFont="1" applyBorder="1" applyAlignment="1">
      <alignment horizontal="left" vertical="center" wrapText="1"/>
    </xf>
    <xf numFmtId="0" fontId="6" fillId="0" borderId="39" xfId="8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right" vertical="center" wrapText="1"/>
    </xf>
    <xf numFmtId="2" fontId="6" fillId="0" borderId="10" xfId="8" applyNumberFormat="1" applyFont="1" applyBorder="1" applyAlignment="1">
      <alignment horizontal="right" vertical="center" wrapText="1"/>
    </xf>
    <xf numFmtId="2" fontId="6" fillId="0" borderId="11" xfId="8" applyNumberFormat="1" applyFont="1" applyBorder="1" applyAlignment="1">
      <alignment horizontal="right" vertical="center" wrapText="1"/>
    </xf>
    <xf numFmtId="0" fontId="6" fillId="0" borderId="0" xfId="0" applyFont="1"/>
    <xf numFmtId="2" fontId="7" fillId="0" borderId="41" xfId="0" applyNumberFormat="1" applyFont="1" applyBorder="1" applyAlignment="1">
      <alignment vertical="center" wrapText="1"/>
    </xf>
    <xf numFmtId="0" fontId="6" fillId="0" borderId="31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4" fontId="9" fillId="0" borderId="20" xfId="0" applyNumberFormat="1" applyFont="1" applyBorder="1" applyAlignment="1">
      <alignment horizontal="center" vertical="center" wrapText="1"/>
    </xf>
    <xf numFmtId="14" fontId="9" fillId="0" borderId="21" xfId="0" applyNumberFormat="1" applyFont="1" applyBorder="1" applyAlignment="1">
      <alignment horizontal="center" vertical="center" wrapText="1"/>
    </xf>
    <xf numFmtId="14" fontId="9" fillId="0" borderId="23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32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7" fillId="0" borderId="26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37" xfId="0" applyFont="1" applyBorder="1" applyAlignment="1">
      <alignment horizontal="right" vertical="center" wrapText="1"/>
    </xf>
    <xf numFmtId="0" fontId="7" fillId="0" borderId="40" xfId="0" applyFont="1" applyBorder="1" applyAlignment="1">
      <alignment horizontal="right" vertical="center" wrapText="1"/>
    </xf>
    <xf numFmtId="0" fontId="6" fillId="0" borderId="3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righ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41" xfId="0" applyFont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0" fontId="7" fillId="0" borderId="21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right" vertical="center" wrapText="1"/>
    </xf>
    <xf numFmtId="0" fontId="6" fillId="0" borderId="0" xfId="0" applyFont="1"/>
    <xf numFmtId="0" fontId="6" fillId="0" borderId="15" xfId="0" applyNumberFormat="1" applyFont="1" applyBorder="1" applyAlignment="1">
      <alignment horizontal="right" vertical="center" wrapText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4 2" xfId="5"/>
    <cellStyle name="Обычный 2 5" xfId="6"/>
    <cellStyle name="Обычный 2 6" xfId="7"/>
    <cellStyle name="Обычный 2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topLeftCell="A40" workbookViewId="0">
      <selection activeCell="G48" sqref="G48"/>
    </sheetView>
  </sheetViews>
  <sheetFormatPr defaultRowHeight="15" x14ac:dyDescent="0.25"/>
  <cols>
    <col min="1" max="1" width="20.140625" style="2" customWidth="1"/>
    <col min="2" max="2" width="19.42578125" style="2" customWidth="1"/>
    <col min="3" max="3" width="12.28515625" style="2" customWidth="1"/>
    <col min="4" max="4" width="53.140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61" t="s">
        <v>22</v>
      </c>
      <c r="C1" s="62"/>
      <c r="D1" s="1" t="s">
        <v>1</v>
      </c>
      <c r="E1" s="26"/>
      <c r="F1" s="1" t="s">
        <v>2</v>
      </c>
      <c r="G1" s="63">
        <v>44973</v>
      </c>
      <c r="H1" s="64"/>
      <c r="I1" s="64"/>
      <c r="J1" s="65"/>
      <c r="K1" s="1"/>
      <c r="L1" s="1"/>
    </row>
    <row r="2" spans="1:12" ht="15.75" thickBot="1" x14ac:dyDescent="0.3">
      <c r="A2" s="30" t="s">
        <v>3</v>
      </c>
      <c r="B2" s="4" t="s">
        <v>4</v>
      </c>
      <c r="C2" s="31" t="s">
        <v>5</v>
      </c>
      <c r="D2" s="33" t="s">
        <v>6</v>
      </c>
      <c r="E2" s="33" t="s">
        <v>7</v>
      </c>
      <c r="F2" s="33" t="s">
        <v>8</v>
      </c>
      <c r="G2" s="4" t="s">
        <v>9</v>
      </c>
      <c r="H2" s="4" t="s">
        <v>10</v>
      </c>
      <c r="I2" s="4" t="s">
        <v>11</v>
      </c>
      <c r="J2" s="32" t="s">
        <v>12</v>
      </c>
    </row>
    <row r="3" spans="1:12" s="40" customFormat="1" ht="17.25" customHeight="1" x14ac:dyDescent="0.25">
      <c r="A3" s="74" t="s">
        <v>27</v>
      </c>
      <c r="B3" s="47" t="s">
        <v>31</v>
      </c>
      <c r="C3" s="43" t="s">
        <v>44</v>
      </c>
      <c r="D3" s="43" t="s">
        <v>52</v>
      </c>
      <c r="E3" s="13">
        <v>15</v>
      </c>
      <c r="F3" s="14">
        <v>9.58</v>
      </c>
      <c r="G3" s="14">
        <f>736*0.015</f>
        <v>11.04</v>
      </c>
      <c r="H3" s="14">
        <f>20.55*0.015</f>
        <v>0.30825000000000002</v>
      </c>
      <c r="I3" s="14">
        <f>29.1*0.015</f>
        <v>0.4365</v>
      </c>
      <c r="J3" s="15">
        <f>97.89*0.015</f>
        <v>1.46835</v>
      </c>
    </row>
    <row r="4" spans="1:12" s="36" customFormat="1" x14ac:dyDescent="0.25">
      <c r="A4" s="75"/>
      <c r="B4" s="7" t="s">
        <v>13</v>
      </c>
      <c r="C4" s="5" t="s">
        <v>42</v>
      </c>
      <c r="D4" s="5" t="s">
        <v>43</v>
      </c>
      <c r="E4" s="16" t="s">
        <v>61</v>
      </c>
      <c r="F4" s="6">
        <v>65.92</v>
      </c>
      <c r="G4" s="24">
        <f>290*0.8</f>
        <v>232</v>
      </c>
      <c r="H4" s="24">
        <f>15.2*0.8</f>
        <v>12.16</v>
      </c>
      <c r="I4" s="24">
        <f>23.1*0.8</f>
        <v>18.48</v>
      </c>
      <c r="J4" s="25">
        <f>5.12*0.8</f>
        <v>4.0960000000000001</v>
      </c>
    </row>
    <row r="5" spans="1:12" s="36" customFormat="1" x14ac:dyDescent="0.25">
      <c r="A5" s="75"/>
      <c r="B5" s="7" t="s">
        <v>17</v>
      </c>
      <c r="C5" s="5" t="s">
        <v>40</v>
      </c>
      <c r="D5" s="5" t="s">
        <v>41</v>
      </c>
      <c r="E5" s="16">
        <v>120</v>
      </c>
      <c r="F5" s="6">
        <v>11.95</v>
      </c>
      <c r="G5" s="6">
        <f>1398*0.12</f>
        <v>167.76</v>
      </c>
      <c r="H5" s="6">
        <f>24.34*0.12</f>
        <v>2.9207999999999998</v>
      </c>
      <c r="I5" s="6">
        <f>35.83*0.12</f>
        <v>4.2995999999999999</v>
      </c>
      <c r="J5" s="8">
        <f>244.56*0.12</f>
        <v>29.347200000000001</v>
      </c>
    </row>
    <row r="6" spans="1:12" s="27" customFormat="1" x14ac:dyDescent="0.25">
      <c r="A6" s="75"/>
      <c r="B6" s="7" t="s">
        <v>18</v>
      </c>
      <c r="C6" s="5" t="s">
        <v>68</v>
      </c>
      <c r="D6" s="5" t="s">
        <v>69</v>
      </c>
      <c r="E6" s="16" t="s">
        <v>70</v>
      </c>
      <c r="F6" s="6">
        <v>5.03</v>
      </c>
      <c r="G6" s="6">
        <v>62</v>
      </c>
      <c r="H6" s="6">
        <v>0.13</v>
      </c>
      <c r="I6" s="6">
        <v>0.02</v>
      </c>
      <c r="J6" s="8">
        <v>15.2</v>
      </c>
      <c r="K6"/>
    </row>
    <row r="7" spans="1:12" s="42" customFormat="1" x14ac:dyDescent="0.25">
      <c r="A7" s="75"/>
      <c r="B7" s="7" t="s">
        <v>21</v>
      </c>
      <c r="C7" s="5" t="s">
        <v>57</v>
      </c>
      <c r="D7" s="5" t="s">
        <v>58</v>
      </c>
      <c r="E7" s="16">
        <v>50</v>
      </c>
      <c r="F7" s="6">
        <v>3.57</v>
      </c>
      <c r="G7" s="6">
        <f>160.5/5*5</f>
        <v>160.5</v>
      </c>
      <c r="H7" s="6">
        <f>3.39/5*5</f>
        <v>3.39</v>
      </c>
      <c r="I7" s="6">
        <f>6.98/5*5</f>
        <v>6.98</v>
      </c>
      <c r="J7" s="8">
        <f>21.07/5*5</f>
        <v>21.07</v>
      </c>
    </row>
    <row r="8" spans="1:12" s="35" customFormat="1" ht="15.75" thickBot="1" x14ac:dyDescent="0.3">
      <c r="A8" s="76"/>
      <c r="B8" s="9" t="s">
        <v>14</v>
      </c>
      <c r="C8" s="10" t="s">
        <v>32</v>
      </c>
      <c r="D8" s="10" t="s">
        <v>33</v>
      </c>
      <c r="E8" s="17">
        <v>28.5</v>
      </c>
      <c r="F8" s="18">
        <v>1.1000000000000001</v>
      </c>
      <c r="G8" s="18">
        <f>229.7*0.285</f>
        <v>65.464499999999987</v>
      </c>
      <c r="H8" s="11">
        <f>6.7*0.285</f>
        <v>1.9095</v>
      </c>
      <c r="I8" s="11">
        <f>1.1*0.285</f>
        <v>0.3135</v>
      </c>
      <c r="J8" s="12">
        <f>48.3*0.285</f>
        <v>13.765499999999998</v>
      </c>
    </row>
    <row r="9" spans="1:12" ht="16.5" thickBot="1" x14ac:dyDescent="0.3">
      <c r="A9" s="66" t="s">
        <v>15</v>
      </c>
      <c r="B9" s="67"/>
      <c r="C9" s="67"/>
      <c r="D9" s="67"/>
      <c r="E9" s="68"/>
      <c r="F9" s="41">
        <f>SUM(F3:F8)</f>
        <v>97.149999999999991</v>
      </c>
      <c r="G9" s="41">
        <f t="shared" ref="G9:J9" si="0">SUM(G3:G8)</f>
        <v>698.7645</v>
      </c>
      <c r="H9" s="41">
        <f t="shared" si="0"/>
        <v>20.818550000000002</v>
      </c>
      <c r="I9" s="41">
        <f t="shared" si="0"/>
        <v>30.529599999999999</v>
      </c>
      <c r="J9" s="41">
        <f t="shared" si="0"/>
        <v>84.94704999999999</v>
      </c>
    </row>
    <row r="10" spans="1:12" x14ac:dyDescent="0.25">
      <c r="A10" s="69" t="s">
        <v>28</v>
      </c>
      <c r="B10" s="20" t="s">
        <v>16</v>
      </c>
      <c r="C10" s="21" t="s">
        <v>47</v>
      </c>
      <c r="D10" s="21" t="s">
        <v>71</v>
      </c>
      <c r="E10" s="13">
        <v>250</v>
      </c>
      <c r="F10" s="14">
        <v>5.99</v>
      </c>
      <c r="G10" s="14">
        <f>468*0.25+211*0</f>
        <v>117</v>
      </c>
      <c r="H10" s="14">
        <f>9.54*0.25+21.1*0</f>
        <v>2.3849999999999998</v>
      </c>
      <c r="I10" s="14">
        <f>20.31*0.25+13.6*0</f>
        <v>5.0774999999999997</v>
      </c>
      <c r="J10" s="15">
        <f>51.98*0.25</f>
        <v>12.994999999999999</v>
      </c>
      <c r="K10"/>
    </row>
    <row r="11" spans="1:12" x14ac:dyDescent="0.25">
      <c r="A11" s="69"/>
      <c r="B11" s="7" t="s">
        <v>13</v>
      </c>
      <c r="C11" s="5" t="s">
        <v>48</v>
      </c>
      <c r="D11" s="5" t="s">
        <v>49</v>
      </c>
      <c r="E11" s="16" t="s">
        <v>63</v>
      </c>
      <c r="F11" s="6">
        <v>32.409999999999997</v>
      </c>
      <c r="G11" s="24">
        <f>383/50*32</f>
        <v>245.12</v>
      </c>
      <c r="H11" s="24">
        <f>12.3/50*32</f>
        <v>7.8720000000000008</v>
      </c>
      <c r="I11" s="24">
        <f>29.5/50*32</f>
        <v>18.88</v>
      </c>
      <c r="J11" s="25">
        <f>16.58/50*32</f>
        <v>10.611199999999998</v>
      </c>
      <c r="K11"/>
    </row>
    <row r="12" spans="1:12" s="37" customFormat="1" x14ac:dyDescent="0.25">
      <c r="A12" s="69"/>
      <c r="B12" s="7" t="s">
        <v>18</v>
      </c>
      <c r="C12" s="5" t="s">
        <v>19</v>
      </c>
      <c r="D12" s="5" t="s">
        <v>20</v>
      </c>
      <c r="E12" s="16" t="s">
        <v>34</v>
      </c>
      <c r="F12" s="6">
        <v>2.99</v>
      </c>
      <c r="G12" s="6">
        <v>60</v>
      </c>
      <c r="H12" s="6">
        <v>7.0000000000000007E-2</v>
      </c>
      <c r="I12" s="6">
        <v>0.02</v>
      </c>
      <c r="J12" s="8">
        <v>15</v>
      </c>
      <c r="K12"/>
    </row>
    <row r="13" spans="1:12" ht="15.75" thickBot="1" x14ac:dyDescent="0.3">
      <c r="A13" s="69"/>
      <c r="B13" s="9" t="s">
        <v>14</v>
      </c>
      <c r="C13" s="10" t="s">
        <v>32</v>
      </c>
      <c r="D13" s="10" t="s">
        <v>33</v>
      </c>
      <c r="E13" s="17">
        <v>23.5</v>
      </c>
      <c r="F13" s="18">
        <v>0.9</v>
      </c>
      <c r="G13" s="18">
        <f>229.7*0.235</f>
        <v>53.979499999999994</v>
      </c>
      <c r="H13" s="11">
        <f>6.7*0.235</f>
        <v>1.5745</v>
      </c>
      <c r="I13" s="11">
        <f>1.1*0.235</f>
        <v>0.25850000000000001</v>
      </c>
      <c r="J13" s="12">
        <f>48.3*0.235</f>
        <v>11.350499999999998</v>
      </c>
    </row>
    <row r="14" spans="1:12" ht="16.5" thickBot="1" x14ac:dyDescent="0.3">
      <c r="A14" s="70" t="s">
        <v>15</v>
      </c>
      <c r="B14" s="67"/>
      <c r="C14" s="67"/>
      <c r="D14" s="67"/>
      <c r="E14" s="71"/>
      <c r="F14" s="19">
        <f>SUM(F10:F13)</f>
        <v>42.29</v>
      </c>
      <c r="G14" s="19">
        <f>SUM(G10:G13)</f>
        <v>476.09949999999998</v>
      </c>
      <c r="H14" s="19">
        <f>SUM(H10:H13)</f>
        <v>11.901500000000002</v>
      </c>
      <c r="I14" s="19">
        <f>SUM(I10:I13)</f>
        <v>24.236000000000001</v>
      </c>
      <c r="J14" s="19">
        <f>SUM(J10:J13)</f>
        <v>49.956699999999998</v>
      </c>
    </row>
    <row r="15" spans="1:12" s="42" customFormat="1" x14ac:dyDescent="0.25">
      <c r="A15" s="77" t="s">
        <v>29</v>
      </c>
      <c r="B15" s="20" t="s">
        <v>31</v>
      </c>
      <c r="C15" s="21" t="s">
        <v>59</v>
      </c>
      <c r="D15" s="21" t="s">
        <v>60</v>
      </c>
      <c r="E15" s="13">
        <v>60</v>
      </c>
      <c r="F15" s="14">
        <v>3.37</v>
      </c>
      <c r="G15" s="14">
        <f>604*0.06</f>
        <v>36.24</v>
      </c>
      <c r="H15" s="14">
        <f>13.12*0.06</f>
        <v>0.7871999999999999</v>
      </c>
      <c r="I15" s="14">
        <f>32.49*0.06</f>
        <v>1.9494</v>
      </c>
      <c r="J15" s="15">
        <f>64.66*0.06</f>
        <v>3.8795999999999995</v>
      </c>
    </row>
    <row r="16" spans="1:12" s="39" customFormat="1" x14ac:dyDescent="0.25">
      <c r="A16" s="78"/>
      <c r="B16" s="7" t="s">
        <v>16</v>
      </c>
      <c r="C16" s="5" t="s">
        <v>47</v>
      </c>
      <c r="D16" s="5" t="s">
        <v>54</v>
      </c>
      <c r="E16" s="16" t="s">
        <v>51</v>
      </c>
      <c r="F16" s="6">
        <v>14.59</v>
      </c>
      <c r="G16" s="6">
        <f>468*0.25+211*0.1</f>
        <v>138.1</v>
      </c>
      <c r="H16" s="6">
        <f>9.54*0.25+21.1*0.1</f>
        <v>4.4950000000000001</v>
      </c>
      <c r="I16" s="6">
        <f>20.31*0.25+13.6*0.1</f>
        <v>6.4375</v>
      </c>
      <c r="J16" s="8">
        <f>51.98*0.25+0</f>
        <v>12.994999999999999</v>
      </c>
    </row>
    <row r="17" spans="1:11" s="34" customFormat="1" x14ac:dyDescent="0.25">
      <c r="A17" s="78"/>
      <c r="B17" s="7" t="s">
        <v>13</v>
      </c>
      <c r="C17" s="5" t="s">
        <v>48</v>
      </c>
      <c r="D17" s="5" t="s">
        <v>49</v>
      </c>
      <c r="E17" s="16" t="s">
        <v>50</v>
      </c>
      <c r="F17" s="6">
        <v>50.64</v>
      </c>
      <c r="G17" s="24">
        <f>383</f>
        <v>383</v>
      </c>
      <c r="H17" s="24">
        <f>12.3</f>
        <v>12.3</v>
      </c>
      <c r="I17" s="24">
        <f>29.5</f>
        <v>29.5</v>
      </c>
      <c r="J17" s="25">
        <f>16.58</f>
        <v>16.579999999999998</v>
      </c>
    </row>
    <row r="18" spans="1:11" s="39" customFormat="1" x14ac:dyDescent="0.25">
      <c r="A18" s="78"/>
      <c r="B18" s="7" t="s">
        <v>18</v>
      </c>
      <c r="C18" s="5" t="s">
        <v>72</v>
      </c>
      <c r="D18" s="5" t="s">
        <v>73</v>
      </c>
      <c r="E18" s="16">
        <v>200</v>
      </c>
      <c r="F18" s="6">
        <v>9.07</v>
      </c>
      <c r="G18" s="6">
        <v>100.6</v>
      </c>
      <c r="H18" s="6">
        <v>3.17</v>
      </c>
      <c r="I18" s="6">
        <v>2.68</v>
      </c>
      <c r="J18" s="8">
        <v>15.95</v>
      </c>
      <c r="K18"/>
    </row>
    <row r="19" spans="1:11" s="42" customFormat="1" x14ac:dyDescent="0.25">
      <c r="A19" s="78"/>
      <c r="B19" s="7" t="s">
        <v>14</v>
      </c>
      <c r="C19" s="5" t="s">
        <v>32</v>
      </c>
      <c r="D19" s="5" t="s">
        <v>33</v>
      </c>
      <c r="E19" s="16">
        <v>26.5</v>
      </c>
      <c r="F19" s="6">
        <v>1.02</v>
      </c>
      <c r="G19" s="6">
        <f>229.7*0.265</f>
        <v>60.8705</v>
      </c>
      <c r="H19" s="44">
        <f>6.7*0.265</f>
        <v>1.7755000000000001</v>
      </c>
      <c r="I19" s="44">
        <f>1.1*0.265</f>
        <v>0.29150000000000004</v>
      </c>
      <c r="J19" s="45">
        <f>48.3*0.265</f>
        <v>12.7995</v>
      </c>
      <c r="K19"/>
    </row>
    <row r="20" spans="1:11" s="42" customFormat="1" ht="15.75" thickBot="1" x14ac:dyDescent="0.3">
      <c r="A20" s="79"/>
      <c r="B20" s="9" t="s">
        <v>45</v>
      </c>
      <c r="C20" s="10" t="s">
        <v>46</v>
      </c>
      <c r="D20" s="10" t="s">
        <v>74</v>
      </c>
      <c r="E20" s="93">
        <v>160</v>
      </c>
      <c r="F20" s="11">
        <v>18.46</v>
      </c>
      <c r="G20" s="38">
        <f>47*1.6</f>
        <v>75.2</v>
      </c>
      <c r="H20" s="18">
        <f>0.4*1.6</f>
        <v>0.64000000000000012</v>
      </c>
      <c r="I20" s="18">
        <f>0.4*1.6</f>
        <v>0.64000000000000012</v>
      </c>
      <c r="J20" s="29">
        <f>9.8*1.6</f>
        <v>15.680000000000001</v>
      </c>
    </row>
    <row r="21" spans="1:11" s="28" customFormat="1" ht="16.5" thickBot="1" x14ac:dyDescent="0.3">
      <c r="A21" s="66" t="s">
        <v>15</v>
      </c>
      <c r="B21" s="72"/>
      <c r="C21" s="72"/>
      <c r="D21" s="72"/>
      <c r="E21" s="73"/>
      <c r="F21" s="53">
        <f>SUM(F15:F20)</f>
        <v>97.149999999999977</v>
      </c>
      <c r="G21" s="53">
        <f>SUM(G15:G20)</f>
        <v>794.01050000000009</v>
      </c>
      <c r="H21" s="53">
        <f>SUM(H15:H20)</f>
        <v>23.167700000000004</v>
      </c>
      <c r="I21" s="53">
        <f>SUM(I15:I20)</f>
        <v>41.498399999999997</v>
      </c>
      <c r="J21" s="53">
        <f>SUM(J15:J20)</f>
        <v>77.884100000000004</v>
      </c>
      <c r="K21"/>
    </row>
    <row r="22" spans="1:11" s="37" customFormat="1" x14ac:dyDescent="0.25">
      <c r="A22" s="57" t="s">
        <v>30</v>
      </c>
      <c r="B22" s="47" t="s">
        <v>53</v>
      </c>
      <c r="C22" s="43" t="s">
        <v>39</v>
      </c>
      <c r="D22" s="48" t="s">
        <v>55</v>
      </c>
      <c r="E22" s="49" t="s">
        <v>56</v>
      </c>
      <c r="F22" s="13">
        <v>41.02</v>
      </c>
      <c r="G22" s="14">
        <v>160</v>
      </c>
      <c r="H22" s="50">
        <v>5</v>
      </c>
      <c r="I22" s="50">
        <v>6.2</v>
      </c>
      <c r="J22" s="51">
        <v>22</v>
      </c>
      <c r="K22"/>
    </row>
    <row r="23" spans="1:11" s="37" customFormat="1" ht="33" customHeight="1" thickBot="1" x14ac:dyDescent="0.3">
      <c r="A23" s="57"/>
      <c r="B23" s="9" t="s">
        <v>14</v>
      </c>
      <c r="C23" s="10" t="s">
        <v>32</v>
      </c>
      <c r="D23" s="10" t="s">
        <v>33</v>
      </c>
      <c r="E23" s="17">
        <v>33</v>
      </c>
      <c r="F23" s="18">
        <v>1.27</v>
      </c>
      <c r="G23" s="18">
        <f>229.7*0.33</f>
        <v>75.801000000000002</v>
      </c>
      <c r="H23" s="11">
        <f>6.7*0.33</f>
        <v>2.2110000000000003</v>
      </c>
      <c r="I23" s="11">
        <f>1.1*0.33</f>
        <v>0.36300000000000004</v>
      </c>
      <c r="J23" s="12">
        <f>48.3*0.33</f>
        <v>15.939</v>
      </c>
      <c r="K23"/>
    </row>
    <row r="24" spans="1:11" s="37" customFormat="1" ht="16.5" thickBot="1" x14ac:dyDescent="0.3">
      <c r="A24" s="58" t="s">
        <v>15</v>
      </c>
      <c r="B24" s="59"/>
      <c r="C24" s="59"/>
      <c r="D24" s="59"/>
      <c r="E24" s="60"/>
      <c r="F24" s="3">
        <f>SUM(F22:F23)</f>
        <v>42.290000000000006</v>
      </c>
      <c r="G24" s="3">
        <f>SUM(G22:G23)</f>
        <v>235.80099999999999</v>
      </c>
      <c r="H24" s="3">
        <f>SUM(H22:H23)</f>
        <v>7.2110000000000003</v>
      </c>
      <c r="I24" s="3">
        <f>SUM(I22:I23)</f>
        <v>6.5630000000000006</v>
      </c>
      <c r="J24" s="3">
        <f>SUM(J22:J23)</f>
        <v>37.939</v>
      </c>
      <c r="K24"/>
    </row>
    <row r="25" spans="1:11" ht="15" customHeight="1" x14ac:dyDescent="0.25">
      <c r="A25" s="54" t="s">
        <v>64</v>
      </c>
      <c r="B25" s="47" t="s">
        <v>31</v>
      </c>
      <c r="C25" s="43" t="s">
        <v>44</v>
      </c>
      <c r="D25" s="43" t="s">
        <v>52</v>
      </c>
      <c r="E25" s="13">
        <v>10</v>
      </c>
      <c r="F25" s="14">
        <v>6.39</v>
      </c>
      <c r="G25" s="14">
        <f>736*0.01</f>
        <v>7.36</v>
      </c>
      <c r="H25" s="14">
        <f>20.55*0.01</f>
        <v>0.20550000000000002</v>
      </c>
      <c r="I25" s="14">
        <f>29.1*0.01</f>
        <v>0.29100000000000004</v>
      </c>
      <c r="J25" s="15">
        <f>97.89*0.01</f>
        <v>0.97889999999999999</v>
      </c>
    </row>
    <row r="26" spans="1:11" s="52" customFormat="1" x14ac:dyDescent="0.25">
      <c r="A26" s="55"/>
      <c r="B26" s="7" t="s">
        <v>13</v>
      </c>
      <c r="C26" s="5" t="s">
        <v>42</v>
      </c>
      <c r="D26" s="5" t="s">
        <v>43</v>
      </c>
      <c r="E26" s="16" t="s">
        <v>62</v>
      </c>
      <c r="F26" s="6">
        <v>49.43</v>
      </c>
      <c r="G26" s="24">
        <f>290*0.6</f>
        <v>174</v>
      </c>
      <c r="H26" s="24">
        <f>15.2*0.6</f>
        <v>9.1199999999999992</v>
      </c>
      <c r="I26" s="24">
        <f>23.1*0.6</f>
        <v>13.860000000000001</v>
      </c>
      <c r="J26" s="25">
        <f>5.12*0.6</f>
        <v>3.0720000000000001</v>
      </c>
    </row>
    <row r="27" spans="1:11" x14ac:dyDescent="0.25">
      <c r="A27" s="55"/>
      <c r="B27" s="7" t="s">
        <v>17</v>
      </c>
      <c r="C27" s="5" t="s">
        <v>40</v>
      </c>
      <c r="D27" s="5" t="s">
        <v>41</v>
      </c>
      <c r="E27" s="16">
        <v>120</v>
      </c>
      <c r="F27" s="6">
        <v>11.95</v>
      </c>
      <c r="G27" s="6">
        <f>1398*0.12</f>
        <v>167.76</v>
      </c>
      <c r="H27" s="6">
        <f>24.34*0.12</f>
        <v>2.9207999999999998</v>
      </c>
      <c r="I27" s="6">
        <f>35.83*0.12</f>
        <v>4.2995999999999999</v>
      </c>
      <c r="J27" s="8">
        <f>244.56*0.12</f>
        <v>29.347200000000001</v>
      </c>
    </row>
    <row r="28" spans="1:11" ht="15.75" customHeight="1" x14ac:dyDescent="0.25">
      <c r="A28" s="55"/>
      <c r="B28" s="7" t="s">
        <v>18</v>
      </c>
      <c r="C28" s="5" t="s">
        <v>68</v>
      </c>
      <c r="D28" s="5" t="s">
        <v>69</v>
      </c>
      <c r="E28" s="16" t="s">
        <v>70</v>
      </c>
      <c r="F28" s="6">
        <v>5.03</v>
      </c>
      <c r="G28" s="6">
        <v>62</v>
      </c>
      <c r="H28" s="6">
        <v>0.13</v>
      </c>
      <c r="I28" s="6">
        <v>0.02</v>
      </c>
      <c r="J28" s="8">
        <v>15.2</v>
      </c>
    </row>
    <row r="29" spans="1:11" x14ac:dyDescent="0.25">
      <c r="A29" s="55"/>
      <c r="B29" s="7" t="s">
        <v>21</v>
      </c>
      <c r="C29" s="5" t="s">
        <v>57</v>
      </c>
      <c r="D29" s="5" t="s">
        <v>58</v>
      </c>
      <c r="E29" s="16">
        <v>50</v>
      </c>
      <c r="F29" s="6">
        <v>3.57</v>
      </c>
      <c r="G29" s="6">
        <f>160.5/5*5</f>
        <v>160.5</v>
      </c>
      <c r="H29" s="6">
        <f>3.39/5*5</f>
        <v>3.39</v>
      </c>
      <c r="I29" s="6">
        <f>6.98/5*5</f>
        <v>6.98</v>
      </c>
      <c r="J29" s="8">
        <f>21.07/5*5</f>
        <v>21.07</v>
      </c>
    </row>
    <row r="30" spans="1:11" ht="15" customHeight="1" thickBot="1" x14ac:dyDescent="0.3">
      <c r="A30" s="56"/>
      <c r="B30" s="9" t="s">
        <v>14</v>
      </c>
      <c r="C30" s="10" t="s">
        <v>32</v>
      </c>
      <c r="D30" s="10" t="s">
        <v>33</v>
      </c>
      <c r="E30" s="17">
        <v>16.5</v>
      </c>
      <c r="F30" s="18">
        <v>0.63</v>
      </c>
      <c r="G30" s="18">
        <f>229.7*0.165</f>
        <v>37.900500000000001</v>
      </c>
      <c r="H30" s="11">
        <f>6.7*0.165</f>
        <v>1.1055000000000001</v>
      </c>
      <c r="I30" s="11">
        <f>1.1*0.165</f>
        <v>0.18150000000000002</v>
      </c>
      <c r="J30" s="12">
        <f>48.3*0.165</f>
        <v>7.9695</v>
      </c>
    </row>
    <row r="31" spans="1:11" ht="16.5" thickBot="1" x14ac:dyDescent="0.3">
      <c r="A31" s="80" t="s">
        <v>15</v>
      </c>
      <c r="B31" s="67"/>
      <c r="C31" s="67"/>
      <c r="D31" s="67"/>
      <c r="E31" s="71"/>
      <c r="F31" s="19">
        <f>SUM(F25:F30)</f>
        <v>76.999999999999986</v>
      </c>
      <c r="G31" s="19">
        <f>SUM(G25:G30)</f>
        <v>609.52049999999997</v>
      </c>
      <c r="H31" s="19">
        <f>SUM(H25:H30)</f>
        <v>16.8718</v>
      </c>
      <c r="I31" s="19">
        <f>SUM(I25:I30)</f>
        <v>25.632100000000001</v>
      </c>
      <c r="J31" s="19">
        <f>SUM(J25:J30)</f>
        <v>77.637600000000006</v>
      </c>
    </row>
    <row r="32" spans="1:11" ht="17.25" customHeight="1" x14ac:dyDescent="0.25">
      <c r="A32" s="81" t="s">
        <v>35</v>
      </c>
      <c r="B32" s="47" t="s">
        <v>31</v>
      </c>
      <c r="C32" s="43" t="s">
        <v>44</v>
      </c>
      <c r="D32" s="43" t="s">
        <v>52</v>
      </c>
      <c r="E32" s="13">
        <v>12</v>
      </c>
      <c r="F32" s="14">
        <v>7.66</v>
      </c>
      <c r="G32" s="14">
        <f>736*0.012</f>
        <v>8.8320000000000007</v>
      </c>
      <c r="H32" s="14">
        <f>20.55*0.012</f>
        <v>0.24660000000000001</v>
      </c>
      <c r="I32" s="14">
        <f>29.1*0.012</f>
        <v>0.34920000000000001</v>
      </c>
      <c r="J32" s="15">
        <f>97.89*0.012</f>
        <v>1.1746799999999999</v>
      </c>
    </row>
    <row r="33" spans="1:10" x14ac:dyDescent="0.25">
      <c r="A33" s="82"/>
      <c r="B33" s="7" t="s">
        <v>17</v>
      </c>
      <c r="C33" s="5" t="s">
        <v>40</v>
      </c>
      <c r="D33" s="5" t="s">
        <v>41</v>
      </c>
      <c r="E33" s="16">
        <v>150</v>
      </c>
      <c r="F33" s="6">
        <v>14.93</v>
      </c>
      <c r="G33" s="6">
        <f>1398*0.15</f>
        <v>209.7</v>
      </c>
      <c r="H33" s="6">
        <f>24.34*0.15</f>
        <v>3.6509999999999998</v>
      </c>
      <c r="I33" s="6">
        <f>35.83*0.15</f>
        <v>5.3744999999999994</v>
      </c>
      <c r="J33" s="8">
        <f>244.56*0.15</f>
        <v>36.683999999999997</v>
      </c>
    </row>
    <row r="34" spans="1:10" x14ac:dyDescent="0.25">
      <c r="A34" s="82"/>
      <c r="B34" s="7" t="s">
        <v>18</v>
      </c>
      <c r="C34" s="5" t="s">
        <v>19</v>
      </c>
      <c r="D34" s="5" t="s">
        <v>20</v>
      </c>
      <c r="E34" s="16" t="s">
        <v>34</v>
      </c>
      <c r="F34" s="6">
        <v>2.99</v>
      </c>
      <c r="G34" s="6">
        <v>60</v>
      </c>
      <c r="H34" s="6">
        <v>7.0000000000000007E-2</v>
      </c>
      <c r="I34" s="6">
        <v>0.02</v>
      </c>
      <c r="J34" s="8">
        <v>15</v>
      </c>
    </row>
    <row r="35" spans="1:10" ht="15.75" thickBot="1" x14ac:dyDescent="0.3">
      <c r="A35" s="83"/>
      <c r="B35" s="9" t="s">
        <v>14</v>
      </c>
      <c r="C35" s="10" t="s">
        <v>32</v>
      </c>
      <c r="D35" s="10" t="s">
        <v>33</v>
      </c>
      <c r="E35" s="17">
        <v>38</v>
      </c>
      <c r="F35" s="18">
        <v>1.42</v>
      </c>
      <c r="G35" s="18">
        <f>229.7*0.38</f>
        <v>87.286000000000001</v>
      </c>
      <c r="H35" s="11">
        <f>6.7*0.38</f>
        <v>2.5460000000000003</v>
      </c>
      <c r="I35" s="11">
        <f>1.1*0.38</f>
        <v>0.41800000000000004</v>
      </c>
      <c r="J35" s="12">
        <f>48.3*0.38</f>
        <v>18.353999999999999</v>
      </c>
    </row>
    <row r="36" spans="1:10" ht="16.5" thickBot="1" x14ac:dyDescent="0.3">
      <c r="A36" s="84" t="s">
        <v>15</v>
      </c>
      <c r="B36" s="67"/>
      <c r="C36" s="67"/>
      <c r="D36" s="67"/>
      <c r="E36" s="71"/>
      <c r="F36" s="19">
        <f>SUM(F32:F35)</f>
        <v>27</v>
      </c>
      <c r="G36" s="19">
        <f>SUM(G32:G35)</f>
        <v>365.81799999999998</v>
      </c>
      <c r="H36" s="19">
        <f>SUM(H32:H35)</f>
        <v>6.5136000000000003</v>
      </c>
      <c r="I36" s="19">
        <f>SUM(I32:I35)</f>
        <v>6.1616999999999988</v>
      </c>
      <c r="J36" s="19">
        <f>SUM(J32:J35)</f>
        <v>71.212680000000006</v>
      </c>
    </row>
    <row r="37" spans="1:10" ht="47.25" customHeight="1" x14ac:dyDescent="0.25">
      <c r="A37" s="77" t="s">
        <v>36</v>
      </c>
      <c r="B37" s="20" t="s">
        <v>31</v>
      </c>
      <c r="C37" s="21" t="s">
        <v>75</v>
      </c>
      <c r="D37" s="21" t="s">
        <v>76</v>
      </c>
      <c r="E37" s="13" t="s">
        <v>77</v>
      </c>
      <c r="F37" s="14">
        <v>4.01</v>
      </c>
      <c r="G37" s="14">
        <f>250*0.2+229.7*0.29</f>
        <v>116.61299999999999</v>
      </c>
      <c r="H37" s="14">
        <f>0.4*0.2+6.7*0.29</f>
        <v>2.0229999999999997</v>
      </c>
      <c r="I37" s="14">
        <f>0+1.1*0.29</f>
        <v>0.31900000000000001</v>
      </c>
      <c r="J37" s="15">
        <f>65*0.2+48.3*0.29</f>
        <v>27.006999999999998</v>
      </c>
    </row>
    <row r="38" spans="1:10" ht="15.75" thickBot="1" x14ac:dyDescent="0.3">
      <c r="A38" s="79"/>
      <c r="B38" s="9" t="s">
        <v>18</v>
      </c>
      <c r="C38" s="10" t="s">
        <v>19</v>
      </c>
      <c r="D38" s="10" t="s">
        <v>20</v>
      </c>
      <c r="E38" s="17" t="s">
        <v>34</v>
      </c>
      <c r="F38" s="18">
        <v>2.99</v>
      </c>
      <c r="G38" s="18">
        <v>60</v>
      </c>
      <c r="H38" s="18">
        <v>7.0000000000000007E-2</v>
      </c>
      <c r="I38" s="18">
        <v>0.02</v>
      </c>
      <c r="J38" s="29">
        <v>15</v>
      </c>
    </row>
    <row r="39" spans="1:10" ht="16.5" thickBot="1" x14ac:dyDescent="0.3">
      <c r="A39" s="66" t="s">
        <v>15</v>
      </c>
      <c r="B39" s="67"/>
      <c r="C39" s="67"/>
      <c r="D39" s="67"/>
      <c r="E39" s="68"/>
      <c r="F39" s="19">
        <f>SUM(F37:F38)</f>
        <v>7</v>
      </c>
      <c r="G39" s="19">
        <f>SUM(G37:G38)</f>
        <v>176.613</v>
      </c>
      <c r="H39" s="19">
        <f t="shared" ref="H39:J39" si="1">SUM(H37:H38)</f>
        <v>2.0929999999999995</v>
      </c>
      <c r="I39" s="19">
        <f t="shared" si="1"/>
        <v>0.33900000000000002</v>
      </c>
      <c r="J39" s="19">
        <f t="shared" si="1"/>
        <v>42.006999999999998</v>
      </c>
    </row>
    <row r="40" spans="1:10" x14ac:dyDescent="0.25">
      <c r="A40" s="69" t="s">
        <v>37</v>
      </c>
      <c r="B40" s="20" t="s">
        <v>16</v>
      </c>
      <c r="C40" s="21" t="s">
        <v>47</v>
      </c>
      <c r="D40" s="21" t="s">
        <v>71</v>
      </c>
      <c r="E40" s="13">
        <v>250</v>
      </c>
      <c r="F40" s="14">
        <v>5.99</v>
      </c>
      <c r="G40" s="14">
        <f>468*0.25+211*0</f>
        <v>117</v>
      </c>
      <c r="H40" s="14">
        <f>9.54*0.25+21.1*0</f>
        <v>2.3849999999999998</v>
      </c>
      <c r="I40" s="14">
        <f>20.31*0.25+13.6*0</f>
        <v>5.0774999999999997</v>
      </c>
      <c r="J40" s="15">
        <f>51.98*0.25</f>
        <v>12.994999999999999</v>
      </c>
    </row>
    <row r="41" spans="1:10" x14ac:dyDescent="0.25">
      <c r="A41" s="69"/>
      <c r="B41" s="7" t="s">
        <v>13</v>
      </c>
      <c r="C41" s="5" t="s">
        <v>48</v>
      </c>
      <c r="D41" s="5" t="s">
        <v>49</v>
      </c>
      <c r="E41" s="16" t="s">
        <v>63</v>
      </c>
      <c r="F41" s="6">
        <v>32.409999999999997</v>
      </c>
      <c r="G41" s="24">
        <f>383/50*32</f>
        <v>245.12</v>
      </c>
      <c r="H41" s="24">
        <f>12.3/50*32</f>
        <v>7.8720000000000008</v>
      </c>
      <c r="I41" s="24">
        <f>29.5/50*32</f>
        <v>18.88</v>
      </c>
      <c r="J41" s="25">
        <f>16.58/50*32</f>
        <v>10.611199999999998</v>
      </c>
    </row>
    <row r="42" spans="1:10" s="52" customFormat="1" x14ac:dyDescent="0.25">
      <c r="A42" s="69"/>
      <c r="B42" s="7" t="s">
        <v>18</v>
      </c>
      <c r="C42" s="5" t="s">
        <v>19</v>
      </c>
      <c r="D42" s="5" t="s">
        <v>20</v>
      </c>
      <c r="E42" s="16" t="s">
        <v>34</v>
      </c>
      <c r="F42" s="6">
        <v>2.99</v>
      </c>
      <c r="G42" s="6">
        <v>60</v>
      </c>
      <c r="H42" s="6">
        <v>7.0000000000000007E-2</v>
      </c>
      <c r="I42" s="6">
        <v>0.02</v>
      </c>
      <c r="J42" s="8">
        <v>15</v>
      </c>
    </row>
    <row r="43" spans="1:10" ht="30" x14ac:dyDescent="0.25">
      <c r="A43" s="69"/>
      <c r="B43" s="7" t="s">
        <v>38</v>
      </c>
      <c r="C43" s="5" t="s">
        <v>39</v>
      </c>
      <c r="D43" s="5" t="s">
        <v>65</v>
      </c>
      <c r="E43" s="16">
        <v>10</v>
      </c>
      <c r="F43" s="6">
        <v>2.8</v>
      </c>
      <c r="G43" s="6">
        <f>470*0.1</f>
        <v>47</v>
      </c>
      <c r="H43" s="6">
        <f>8.2*0.1</f>
        <v>0.82</v>
      </c>
      <c r="I43" s="6">
        <f>17.5*0.1</f>
        <v>1.75</v>
      </c>
      <c r="J43" s="8">
        <f>70*0.1</f>
        <v>7</v>
      </c>
    </row>
    <row r="44" spans="1:10" ht="15.75" thickBot="1" x14ac:dyDescent="0.3">
      <c r="A44" s="69"/>
      <c r="B44" s="9" t="s">
        <v>14</v>
      </c>
      <c r="C44" s="10" t="s">
        <v>32</v>
      </c>
      <c r="D44" s="10" t="s">
        <v>33</v>
      </c>
      <c r="E44" s="17">
        <v>21</v>
      </c>
      <c r="F44" s="18">
        <v>0.81</v>
      </c>
      <c r="G44" s="18">
        <f>229.7*0.21</f>
        <v>48.236999999999995</v>
      </c>
      <c r="H44" s="11">
        <f>6.7*0.21</f>
        <v>1.407</v>
      </c>
      <c r="I44" s="11">
        <f>1.1*0.21</f>
        <v>0.23100000000000001</v>
      </c>
      <c r="J44" s="12">
        <f>48.3*0.21</f>
        <v>10.142999999999999</v>
      </c>
    </row>
    <row r="45" spans="1:10" ht="16.5" thickBot="1" x14ac:dyDescent="0.3">
      <c r="A45" s="66" t="s">
        <v>15</v>
      </c>
      <c r="B45" s="72"/>
      <c r="C45" s="72"/>
      <c r="D45" s="72"/>
      <c r="E45" s="88"/>
      <c r="F45" s="53">
        <f>SUM(F40:F44)</f>
        <v>45</v>
      </c>
      <c r="G45" s="53">
        <f>SUM(G40:G44)</f>
        <v>517.35699999999997</v>
      </c>
      <c r="H45" s="53">
        <f>SUM(H40:H44)</f>
        <v>12.554000000000002</v>
      </c>
      <c r="I45" s="53">
        <f>SUM(I40:I44)</f>
        <v>25.958500000000001</v>
      </c>
      <c r="J45" s="53">
        <f>SUM(J40:J44)</f>
        <v>55.749200000000002</v>
      </c>
    </row>
    <row r="46" spans="1:10" x14ac:dyDescent="0.25">
      <c r="A46" s="89" t="s">
        <v>66</v>
      </c>
      <c r="B46" s="20" t="s">
        <v>31</v>
      </c>
      <c r="C46" s="21" t="s">
        <v>59</v>
      </c>
      <c r="D46" s="21" t="s">
        <v>60</v>
      </c>
      <c r="E46" s="13">
        <v>60</v>
      </c>
      <c r="F46" s="14">
        <v>3.37</v>
      </c>
      <c r="G46" s="14">
        <f>604*0.06</f>
        <v>36.24</v>
      </c>
      <c r="H46" s="14">
        <f>13.12*0.06</f>
        <v>0.7871999999999999</v>
      </c>
      <c r="I46" s="14">
        <f>32.49*0.06</f>
        <v>1.9494</v>
      </c>
      <c r="J46" s="15">
        <f>64.66*0.06</f>
        <v>3.8795999999999995</v>
      </c>
    </row>
    <row r="47" spans="1:10" x14ac:dyDescent="0.25">
      <c r="A47" s="89"/>
      <c r="B47" s="7" t="s">
        <v>16</v>
      </c>
      <c r="C47" s="5" t="s">
        <v>47</v>
      </c>
      <c r="D47" s="5" t="s">
        <v>54</v>
      </c>
      <c r="E47" s="16" t="s">
        <v>51</v>
      </c>
      <c r="F47" s="6">
        <v>14.59</v>
      </c>
      <c r="G47" s="6">
        <f>468*0.25+211*0.1</f>
        <v>138.1</v>
      </c>
      <c r="H47" s="6">
        <f>9.54*0.25+21.1*0.1</f>
        <v>4.4950000000000001</v>
      </c>
      <c r="I47" s="6">
        <f>20.31*0.25+13.6*0.1</f>
        <v>6.4375</v>
      </c>
      <c r="J47" s="8">
        <f>51.98*0.25+0</f>
        <v>12.994999999999999</v>
      </c>
    </row>
    <row r="48" spans="1:10" x14ac:dyDescent="0.25">
      <c r="A48" s="89"/>
      <c r="B48" s="7" t="s">
        <v>13</v>
      </c>
      <c r="C48" s="5" t="s">
        <v>48</v>
      </c>
      <c r="D48" s="5" t="s">
        <v>49</v>
      </c>
      <c r="E48" s="16" t="s">
        <v>67</v>
      </c>
      <c r="F48" s="6">
        <v>40.51</v>
      </c>
      <c r="G48" s="24">
        <f>383*0.8</f>
        <v>306.40000000000003</v>
      </c>
      <c r="H48" s="24">
        <f>12.3*0.8</f>
        <v>9.8400000000000016</v>
      </c>
      <c r="I48" s="24">
        <f>29.5*0.8</f>
        <v>23.6</v>
      </c>
      <c r="J48" s="25">
        <f>16.58*0.8</f>
        <v>13.263999999999999</v>
      </c>
    </row>
    <row r="49" spans="1:10" x14ac:dyDescent="0.25">
      <c r="A49" s="89"/>
      <c r="B49" s="7" t="s">
        <v>18</v>
      </c>
      <c r="C49" s="5" t="s">
        <v>72</v>
      </c>
      <c r="D49" s="5" t="s">
        <v>73</v>
      </c>
      <c r="E49" s="16">
        <v>200</v>
      </c>
      <c r="F49" s="6">
        <v>9.07</v>
      </c>
      <c r="G49" s="6">
        <v>100.6</v>
      </c>
      <c r="H49" s="6">
        <v>3.17</v>
      </c>
      <c r="I49" s="6">
        <v>2.68</v>
      </c>
      <c r="J49" s="8">
        <v>15.95</v>
      </c>
    </row>
    <row r="50" spans="1:10" ht="30" x14ac:dyDescent="0.25">
      <c r="A50" s="89"/>
      <c r="B50" s="7" t="s">
        <v>38</v>
      </c>
      <c r="C50" s="5" t="s">
        <v>39</v>
      </c>
      <c r="D50" s="5" t="s">
        <v>78</v>
      </c>
      <c r="E50" s="16">
        <v>35</v>
      </c>
      <c r="F50" s="6">
        <v>8.2899999999999991</v>
      </c>
      <c r="G50" s="6">
        <v>122.5</v>
      </c>
      <c r="H50" s="6">
        <v>1.75</v>
      </c>
      <c r="I50" s="6">
        <v>2.1</v>
      </c>
      <c r="J50" s="8">
        <v>24.15</v>
      </c>
    </row>
    <row r="51" spans="1:10" ht="15.75" thickBot="1" x14ac:dyDescent="0.3">
      <c r="A51" s="89"/>
      <c r="B51" s="7" t="s">
        <v>14</v>
      </c>
      <c r="C51" s="5" t="s">
        <v>32</v>
      </c>
      <c r="D51" s="5" t="s">
        <v>33</v>
      </c>
      <c r="E51" s="16">
        <v>30.5</v>
      </c>
      <c r="F51" s="6">
        <v>1.17</v>
      </c>
      <c r="G51" s="6">
        <f>229.7*0.305</f>
        <v>70.058499999999995</v>
      </c>
      <c r="H51" s="44">
        <f>6.7*0.305</f>
        <v>2.0434999999999999</v>
      </c>
      <c r="I51" s="44">
        <f>1.1*0.305</f>
        <v>0.33550000000000002</v>
      </c>
      <c r="J51" s="45">
        <f>48.3*0.305</f>
        <v>14.731499999999999</v>
      </c>
    </row>
    <row r="52" spans="1:10" ht="16.5" thickBot="1" x14ac:dyDescent="0.3">
      <c r="A52" s="66" t="s">
        <v>15</v>
      </c>
      <c r="B52" s="90"/>
      <c r="C52" s="90"/>
      <c r="D52" s="90"/>
      <c r="E52" s="91"/>
      <c r="F52" s="22">
        <f>SUM(F46:F51)</f>
        <v>76.999999999999986</v>
      </c>
      <c r="G52" s="22">
        <f t="shared" ref="G52:J52" si="2">SUM(G46:G51)</f>
        <v>773.89850000000001</v>
      </c>
      <c r="H52" s="22">
        <f t="shared" si="2"/>
        <v>22.085700000000003</v>
      </c>
      <c r="I52" s="22">
        <f t="shared" si="2"/>
        <v>37.10240000000001</v>
      </c>
      <c r="J52" s="22">
        <f t="shared" si="2"/>
        <v>84.970099999999988</v>
      </c>
    </row>
    <row r="53" spans="1:10" x14ac:dyDescent="0.25">
      <c r="A53" s="46"/>
      <c r="B53" s="46"/>
      <c r="C53" s="46"/>
      <c r="D53" s="46"/>
      <c r="E53" s="46"/>
      <c r="F53" s="46"/>
      <c r="G53" s="46"/>
      <c r="H53" s="46"/>
      <c r="I53" s="46"/>
      <c r="J53" s="46"/>
    </row>
    <row r="54" spans="1:10" ht="15.75" thickBot="1" x14ac:dyDescent="0.3">
      <c r="A54" s="92" t="s">
        <v>25</v>
      </c>
      <c r="B54" s="92"/>
      <c r="C54" s="92"/>
      <c r="D54" s="92"/>
      <c r="E54" s="92"/>
      <c r="F54" s="92"/>
      <c r="G54" s="92"/>
      <c r="H54" s="92"/>
      <c r="I54" s="92"/>
      <c r="J54" s="92"/>
    </row>
    <row r="55" spans="1:10" ht="15.75" x14ac:dyDescent="0.25">
      <c r="A55" s="23"/>
      <c r="B55" s="23"/>
      <c r="C55" s="85" t="s">
        <v>23</v>
      </c>
      <c r="D55" s="85"/>
      <c r="E55" s="46"/>
      <c r="F55" s="46"/>
      <c r="G55" s="86"/>
      <c r="H55" s="86"/>
      <c r="I55" s="86"/>
      <c r="J55" s="86"/>
    </row>
    <row r="56" spans="1:10" x14ac:dyDescent="0.25">
      <c r="A56" s="1"/>
      <c r="B56" s="1"/>
      <c r="C56" s="1"/>
      <c r="D56" s="1"/>
      <c r="E56" s="46"/>
      <c r="F56" s="46"/>
      <c r="G56" s="46"/>
      <c r="H56" s="46"/>
      <c r="I56" s="46"/>
      <c r="J56" s="46"/>
    </row>
    <row r="57" spans="1:10" x14ac:dyDescent="0.25">
      <c r="A57" s="87" t="s">
        <v>24</v>
      </c>
      <c r="B57" s="87"/>
      <c r="C57" s="46"/>
      <c r="D57" s="46"/>
      <c r="E57" s="46"/>
      <c r="F57" s="46"/>
      <c r="G57" s="46"/>
      <c r="H57" s="46"/>
      <c r="I57" s="46"/>
      <c r="J57" s="46"/>
    </row>
    <row r="58" spans="1:10" x14ac:dyDescent="0.25">
      <c r="A58" s="87" t="s">
        <v>26</v>
      </c>
      <c r="B58" s="87"/>
      <c r="C58" s="46"/>
      <c r="D58" s="46"/>
      <c r="E58" s="46"/>
      <c r="F58" s="46"/>
      <c r="G58" s="46"/>
      <c r="H58" s="46"/>
      <c r="I58" s="46"/>
      <c r="J58" s="46"/>
    </row>
  </sheetData>
  <mergeCells count="25">
    <mergeCell ref="C55:D55"/>
    <mergeCell ref="G55:J55"/>
    <mergeCell ref="A57:B57"/>
    <mergeCell ref="A58:B58"/>
    <mergeCell ref="A40:A44"/>
    <mergeCell ref="A45:E45"/>
    <mergeCell ref="A46:A51"/>
    <mergeCell ref="A52:E52"/>
    <mergeCell ref="A54:J54"/>
    <mergeCell ref="A31:E31"/>
    <mergeCell ref="A32:A35"/>
    <mergeCell ref="A36:E36"/>
    <mergeCell ref="A37:A38"/>
    <mergeCell ref="A39:E39"/>
    <mergeCell ref="A25:A30"/>
    <mergeCell ref="A22:A23"/>
    <mergeCell ref="A24:E24"/>
    <mergeCell ref="B1:C1"/>
    <mergeCell ref="G1:J1"/>
    <mergeCell ref="A9:E9"/>
    <mergeCell ref="A10:A13"/>
    <mergeCell ref="A14:E14"/>
    <mergeCell ref="A21:E21"/>
    <mergeCell ref="A3:A8"/>
    <mergeCell ref="A15:A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2023-02-15T09:23:53Z</dcterms:modified>
</cp:coreProperties>
</file>