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61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I51" i="1"/>
  <c r="H51" i="1"/>
  <c r="G51" i="1"/>
  <c r="J50" i="1"/>
  <c r="I50" i="1"/>
  <c r="H50" i="1"/>
  <c r="G50" i="1"/>
  <c r="J44" i="1" l="1"/>
  <c r="I44" i="1"/>
  <c r="H44" i="1"/>
  <c r="G44" i="1"/>
  <c r="J37" i="1"/>
  <c r="I37" i="1"/>
  <c r="H37" i="1"/>
  <c r="G37" i="1"/>
  <c r="J35" i="1" l="1"/>
  <c r="I35" i="1"/>
  <c r="H35" i="1"/>
  <c r="G35" i="1"/>
  <c r="J33" i="1"/>
  <c r="I33" i="1"/>
  <c r="H33" i="1"/>
  <c r="G33" i="1"/>
  <c r="J31" i="1" l="1"/>
  <c r="I31" i="1"/>
  <c r="H31" i="1"/>
  <c r="G31" i="1"/>
  <c r="J30" i="1"/>
  <c r="I30" i="1"/>
  <c r="H30" i="1"/>
  <c r="G30" i="1"/>
  <c r="J28" i="1"/>
  <c r="I28" i="1"/>
  <c r="H28" i="1"/>
  <c r="G28" i="1"/>
  <c r="J27" i="1"/>
  <c r="I27" i="1"/>
  <c r="H27" i="1"/>
  <c r="G27" i="1"/>
  <c r="J25" i="1"/>
  <c r="I25" i="1"/>
  <c r="H25" i="1"/>
  <c r="G25" i="1"/>
  <c r="J24" i="1"/>
  <c r="I24" i="1"/>
  <c r="H24" i="1"/>
  <c r="G24" i="1"/>
  <c r="J21" i="1" l="1"/>
  <c r="I21" i="1"/>
  <c r="H21" i="1"/>
  <c r="G21" i="1"/>
  <c r="J17" i="1"/>
  <c r="I17" i="1"/>
  <c r="H17" i="1"/>
  <c r="G17" i="1"/>
  <c r="J14" i="1"/>
  <c r="I14" i="1"/>
  <c r="H14" i="1"/>
  <c r="G14" i="1"/>
  <c r="J8" i="1"/>
  <c r="I8" i="1"/>
  <c r="H8" i="1"/>
  <c r="G8" i="1"/>
  <c r="J7" i="1"/>
  <c r="I7" i="1"/>
  <c r="H7" i="1"/>
  <c r="G7" i="1"/>
  <c r="J4" i="1"/>
  <c r="I4" i="1"/>
  <c r="H4" i="1"/>
  <c r="G4" i="1"/>
  <c r="J3" i="1" l="1"/>
  <c r="I3" i="1"/>
  <c r="H3" i="1"/>
  <c r="G3" i="1"/>
  <c r="J6" i="1"/>
  <c r="I6" i="1"/>
  <c r="H6" i="1"/>
  <c r="G6" i="1"/>
  <c r="J48" i="1" l="1"/>
  <c r="I48" i="1"/>
  <c r="H48" i="1"/>
  <c r="G48" i="1"/>
  <c r="J47" i="1"/>
  <c r="I47" i="1"/>
  <c r="H47" i="1"/>
  <c r="G47" i="1"/>
  <c r="J42" i="1"/>
  <c r="I42" i="1"/>
  <c r="H42" i="1"/>
  <c r="G42" i="1"/>
  <c r="J41" i="1"/>
  <c r="I41" i="1"/>
  <c r="H41" i="1"/>
  <c r="G41" i="1"/>
  <c r="J40" i="1"/>
  <c r="I40" i="1"/>
  <c r="H40" i="1"/>
  <c r="G40" i="1"/>
  <c r="J19" i="1" l="1"/>
  <c r="I19" i="1"/>
  <c r="H19" i="1"/>
  <c r="G19" i="1"/>
  <c r="J11" i="1"/>
  <c r="I11" i="1"/>
  <c r="H11" i="1"/>
  <c r="G11" i="1"/>
  <c r="F52" i="1" l="1"/>
  <c r="J46" i="1"/>
  <c r="J52" i="1" s="1"/>
  <c r="I46" i="1"/>
  <c r="I52" i="1" s="1"/>
  <c r="H46" i="1"/>
  <c r="H52" i="1" s="1"/>
  <c r="G46" i="1"/>
  <c r="G52" i="1" s="1"/>
  <c r="F45" i="1"/>
  <c r="J45" i="1"/>
  <c r="I45" i="1"/>
  <c r="H45" i="1"/>
  <c r="G45" i="1"/>
  <c r="F39" i="1"/>
  <c r="J39" i="1"/>
  <c r="I39" i="1"/>
  <c r="H39" i="1"/>
  <c r="G39" i="1"/>
  <c r="F36" i="1"/>
  <c r="J36" i="1"/>
  <c r="I36" i="1"/>
  <c r="H36" i="1"/>
  <c r="G36" i="1"/>
  <c r="F32" i="1"/>
  <c r="J32" i="1"/>
  <c r="I32" i="1"/>
  <c r="H32" i="1"/>
  <c r="G32" i="1"/>
  <c r="F9" i="1" l="1"/>
  <c r="J18" i="1" l="1"/>
  <c r="I18" i="1"/>
  <c r="H18" i="1"/>
  <c r="G18" i="1"/>
  <c r="J10" i="1"/>
  <c r="I10" i="1"/>
  <c r="H10" i="1"/>
  <c r="G10" i="1"/>
  <c r="J16" i="1" l="1"/>
  <c r="I16" i="1"/>
  <c r="H16" i="1"/>
  <c r="G16" i="1"/>
  <c r="F22" i="1" l="1"/>
  <c r="J22" i="1" l="1"/>
  <c r="I22" i="1"/>
  <c r="H22" i="1"/>
  <c r="G22" i="1"/>
  <c r="F15" i="1" l="1"/>
  <c r="G26" i="1" l="1"/>
  <c r="H26" i="1"/>
  <c r="I26" i="1"/>
  <c r="J26" i="1"/>
  <c r="F26" i="1"/>
  <c r="J15" i="1" l="1"/>
  <c r="H15" i="1"/>
  <c r="G15" i="1"/>
  <c r="I15" i="1" l="1"/>
  <c r="G9" i="1"/>
  <c r="H9" i="1"/>
  <c r="I9" i="1"/>
  <c r="J9" i="1"/>
</calcChain>
</file>

<file path=xl/sharedStrings.xml><?xml version="1.0" encoding="utf-8"?>
<sst xmlns="http://schemas.openxmlformats.org/spreadsheetml/2006/main" count="174" uniqueCount="71">
  <si>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</si>
  <si>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</si>
  <si>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</si>
  <si>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</si>
  <si>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</si>
  <si>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</si>
  <si>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</si>
  <si>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</si>
  <si>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</si>
  <si>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</si>
  <si>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</si>
  <si>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</si>
  <si>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</si>
  <si>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</si>
  <si>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</si>
  <si>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</si>
  <si>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</si>
  <si>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</si>
  <si>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</si>
  <si>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</si>
  <si>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</si>
  <si>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</si>
  <si>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</si>
  <si>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</si>
  <si>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</si>
  <si>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</si>
  <si>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</si>
  <si>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</si>
  <si>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</si>
  <si>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</si>
  <si>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</si>
  <si>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</si>
  <si>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</si>
  <si>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</si>
  <si>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льготный 5-11 кл</t>
  </si>
  <si>
    <t>Завтрак бюджетный 1-я смена и полдник для детей-инвалидов 2-я смена 5-11 кл</t>
  </si>
  <si>
    <t xml:space="preserve">Обед дети-инвалиды 5-11 кл 1 смена </t>
  </si>
  <si>
    <t>№96-2015г.</t>
  </si>
  <si>
    <t>Рассольник ленинградский со сметаной и зеленью</t>
  </si>
  <si>
    <t>250/10/2</t>
  </si>
  <si>
    <t>№268-2015г.</t>
  </si>
  <si>
    <t>Котлета из свинины</t>
  </si>
  <si>
    <t>№302-2015г.</t>
  </si>
  <si>
    <t>Каша рассыпчатая гречневая</t>
  </si>
  <si>
    <t>Фрукт</t>
  </si>
  <si>
    <t>№338-2015г.</t>
  </si>
  <si>
    <t>Завтрак 1-4 кл и дети-инвалиды 1 смена</t>
  </si>
  <si>
    <t>ТТК №50</t>
  </si>
  <si>
    <t>№223-2015г.</t>
  </si>
  <si>
    <t>Запеканка из творога с молоком сгущённым</t>
  </si>
  <si>
    <t>ТТК №18</t>
  </si>
  <si>
    <t>Филе цыплёнка запечённое</t>
  </si>
  <si>
    <t>Кондитерское изделие</t>
  </si>
  <si>
    <t>ПР</t>
  </si>
  <si>
    <t>Блинчик с ягодным джемом</t>
  </si>
  <si>
    <t>Завтрак 5-11 кл с доплатой 70,00 руб. и льготники с доплатой 50,00 руб. 1 смена; ДМГ 77,00</t>
  </si>
  <si>
    <t>Обед 6-7 кл. с доплатой 70,00 руб. и льготники с доплатой 50,00 руб. 2-я смена; ДМГ 77,00</t>
  </si>
  <si>
    <t>Печенье ванильное</t>
  </si>
  <si>
    <t>Напиток</t>
  </si>
  <si>
    <t>№389-2015г.</t>
  </si>
  <si>
    <t>Сок фруктовый</t>
  </si>
  <si>
    <t>№309-2015г.</t>
  </si>
  <si>
    <t>Макароны отварные</t>
  </si>
  <si>
    <t>Фрукт свежий (яблоко)</t>
  </si>
  <si>
    <t>75/10</t>
  </si>
  <si>
    <t>Зефир фруктовый</t>
  </si>
  <si>
    <t>Макароны отварные с сыром</t>
  </si>
  <si>
    <t>150/8</t>
  </si>
  <si>
    <t>№2-2015г.</t>
  </si>
  <si>
    <t>Бутерброд с повидлом</t>
  </si>
  <si>
    <t>20/27,5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</si>
</sst>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/>
    <xf numFmtId="2" fontId="4" fillId="0" borderId="2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2" fontId="3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2" fontId="3" fillId="0" borderId="14" xfId="0" applyNumberFormat="1" applyFont="1" applyBorder="1" applyAlignment="1">
      <alignment vertical="center" wrapText="1"/>
    </xf>
    <xf numFmtId="2" fontId="3" fillId="0" borderId="15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2" fontId="3" fillId="0" borderId="9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2" fontId="4" fillId="0" borderId="7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2" fontId="7" fillId="0" borderId="4" xfId="0" applyNumberFormat="1" applyFont="1" applyBorder="1" applyAlignment="1">
      <alignment horizontal="right" vertical="center" wrapText="1"/>
    </xf>
    <xf numFmtId="2" fontId="7" fillId="0" borderId="12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vertical="center" wrapText="1"/>
    </xf>
    <xf numFmtId="0" fontId="3" fillId="0" borderId="0" xfId="0" applyFont="1"/>
    <xf numFmtId="2" fontId="4" fillId="0" borderId="25" xfId="0" applyNumberFormat="1" applyFont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2" fontId="3" fillId="0" borderId="15" xfId="0" applyNumberFormat="1" applyFont="1" applyBorder="1" applyAlignment="1">
      <alignment horizontal="righ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/>
    <xf numFmtId="0" fontId="3" fillId="0" borderId="29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4" fontId="7" fillId="0" borderId="4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4" fillId="0" borderId="5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20" xfId="0" applyFont="1" applyBorder="1" applyAlignment="1">
      <alignment horizontal="right" vertical="center" wrapText="1"/>
    </xf>
    <xf numFmtId="0" fontId="3" fillId="0" borderId="0" xfId="0" applyFont="1"/>
    <xf numFmtId="0" fontId="4" fillId="0" borderId="1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4" fontId="6" fillId="0" borderId="20" xfId="0" applyNumberFormat="1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14" fontId="6" fillId="0" borderId="22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2" fontId="4" fillId="0" borderId="30" xfId="0" applyNumberFormat="1" applyFont="1" applyBorder="1" applyAlignment="1">
      <alignment vertical="center" wrapText="1"/>
    </xf>
    <xf numFmtId="2" fontId="4" fillId="0" borderId="36" xfId="0" applyNumberFormat="1" applyFont="1" applyBorder="1" applyAlignment="1">
      <alignment vertical="center" wrapText="1"/>
    </xf>
    <xf numFmtId="2" fontId="4" fillId="0" borderId="37" xfId="0" applyNumberFormat="1" applyFont="1" applyBorder="1" applyAlignment="1">
      <alignment vertical="center" wrapText="1"/>
    </xf>
    <xf numFmtId="2" fontId="4" fillId="0" borderId="35" xfId="0" applyNumberFormat="1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2" fontId="7" fillId="0" borderId="9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2" fontId="3" fillId="0" borderId="12" xfId="0" applyNumberFormat="1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39" xfId="0" applyFont="1" applyBorder="1" applyAlignment="1">
      <alignment horizontal="right" vertical="center" wrapText="1"/>
    </xf>
    <xf numFmtId="2" fontId="3" fillId="0" borderId="39" xfId="0" applyNumberFormat="1" applyFont="1" applyBorder="1" applyAlignment="1">
      <alignment horizontal="right" vertical="center" wrapText="1"/>
    </xf>
    <xf numFmtId="2" fontId="3" fillId="0" borderId="40" xfId="0" applyNumberFormat="1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A34" workbookViewId="0">
      <selection activeCell="J51" sqref="J51"/>
    </sheetView>
  </sheetViews>
  <sheetFormatPr defaultRowHeight="15" x14ac:dyDescent="0.25"/>
  <cols>
    <col min="1" max="1" width="21.7109375" style="2" customWidth="1"/>
    <col min="2" max="2" width="22.5703125" style="2" customWidth="1"/>
    <col min="3" max="3" width="12.28515625" style="2" customWidth="1"/>
    <col min="4" max="4" width="53.140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69" t="s">
        <v>22</v>
      </c>
      <c r="C1" s="70"/>
      <c r="D1" s="1" t="s">
        <v>1</v>
      </c>
      <c r="E1" s="25"/>
      <c r="F1" s="1" t="s">
        <v>2</v>
      </c>
      <c r="G1" s="71">
        <v>44979</v>
      </c>
      <c r="H1" s="72"/>
      <c r="I1" s="72"/>
      <c r="J1" s="73"/>
      <c r="K1" s="1"/>
      <c r="L1" s="1"/>
    </row>
    <row r="2" spans="1:12" ht="15.75" thickBot="1" x14ac:dyDescent="0.3">
      <c r="A2" s="31" t="s">
        <v>3</v>
      </c>
      <c r="B2" s="4" t="s">
        <v>4</v>
      </c>
      <c r="C2" s="32" t="s">
        <v>5</v>
      </c>
      <c r="D2" s="36" t="s">
        <v>6</v>
      </c>
      <c r="E2" s="36" t="s">
        <v>7</v>
      </c>
      <c r="F2" s="36" t="s">
        <v>8</v>
      </c>
      <c r="G2" s="4" t="s">
        <v>9</v>
      </c>
      <c r="H2" s="4" t="s">
        <v>10</v>
      </c>
      <c r="I2" s="4" t="s">
        <v>11</v>
      </c>
      <c r="J2" s="33" t="s">
        <v>12</v>
      </c>
    </row>
    <row r="3" spans="1:12" x14ac:dyDescent="0.25">
      <c r="A3" s="78" t="s">
        <v>46</v>
      </c>
      <c r="B3" s="20" t="s">
        <v>13</v>
      </c>
      <c r="C3" s="21" t="s">
        <v>50</v>
      </c>
      <c r="D3" s="21" t="s">
        <v>51</v>
      </c>
      <c r="E3" s="13">
        <v>50</v>
      </c>
      <c r="F3" s="14">
        <v>40.14</v>
      </c>
      <c r="G3" s="90">
        <f>129.15*1</f>
        <v>129.15</v>
      </c>
      <c r="H3" s="90">
        <f>17.2*1</f>
        <v>17.2</v>
      </c>
      <c r="I3" s="90">
        <f>3.8*1</f>
        <v>3.8</v>
      </c>
      <c r="J3" s="91">
        <f>6.6*1</f>
        <v>6.6</v>
      </c>
    </row>
    <row r="4" spans="1:12" s="50" customFormat="1" x14ac:dyDescent="0.25">
      <c r="A4" s="78"/>
      <c r="B4" s="7" t="s">
        <v>17</v>
      </c>
      <c r="C4" s="5" t="s">
        <v>61</v>
      </c>
      <c r="D4" s="5" t="s">
        <v>62</v>
      </c>
      <c r="E4" s="16">
        <v>120</v>
      </c>
      <c r="F4" s="6">
        <v>11.94</v>
      </c>
      <c r="G4" s="44">
        <f>112.3*1.2</f>
        <v>134.76</v>
      </c>
      <c r="H4" s="44">
        <f>3.68*1.2</f>
        <v>4.4160000000000004</v>
      </c>
      <c r="I4" s="44">
        <f>3.01*1.2</f>
        <v>3.6119999999999997</v>
      </c>
      <c r="J4" s="45">
        <f>17.63*1.2</f>
        <v>21.155999999999999</v>
      </c>
    </row>
    <row r="5" spans="1:12" s="50" customFormat="1" x14ac:dyDescent="0.25">
      <c r="A5" s="78"/>
      <c r="B5" s="7" t="s">
        <v>18</v>
      </c>
      <c r="C5" s="5" t="s">
        <v>19</v>
      </c>
      <c r="D5" s="5" t="s">
        <v>20</v>
      </c>
      <c r="E5" s="16" t="s">
        <v>33</v>
      </c>
      <c r="F5" s="6">
        <v>3.04</v>
      </c>
      <c r="G5" s="6">
        <v>60</v>
      </c>
      <c r="H5" s="6">
        <v>7.0000000000000007E-2</v>
      </c>
      <c r="I5" s="6">
        <v>0.02</v>
      </c>
      <c r="J5" s="8">
        <v>15</v>
      </c>
    </row>
    <row r="6" spans="1:12" s="48" customFormat="1" ht="15.75" x14ac:dyDescent="0.25">
      <c r="A6" s="78"/>
      <c r="B6" s="7" t="s">
        <v>21</v>
      </c>
      <c r="C6" s="41" t="s">
        <v>47</v>
      </c>
      <c r="D6" s="88" t="s">
        <v>54</v>
      </c>
      <c r="E6" s="16">
        <v>55</v>
      </c>
      <c r="F6" s="6">
        <v>21.59</v>
      </c>
      <c r="G6" s="42">
        <f>192.8/90*55</f>
        <v>117.82222222222222</v>
      </c>
      <c r="H6" s="23">
        <f>2.9/9*55</f>
        <v>17.722222222222221</v>
      </c>
      <c r="I6" s="23">
        <f>7.6/9*55</f>
        <v>46.444444444444443</v>
      </c>
      <c r="J6" s="24">
        <f>28.3/9*55</f>
        <v>172.94444444444443</v>
      </c>
    </row>
    <row r="7" spans="1:12" s="39" customFormat="1" x14ac:dyDescent="0.25">
      <c r="A7" s="78"/>
      <c r="B7" s="7" t="s">
        <v>14</v>
      </c>
      <c r="C7" s="5" t="s">
        <v>31</v>
      </c>
      <c r="D7" s="5" t="s">
        <v>32</v>
      </c>
      <c r="E7" s="16">
        <v>21.5</v>
      </c>
      <c r="F7" s="6">
        <v>0.83</v>
      </c>
      <c r="G7" s="6">
        <f>229.7*0.215</f>
        <v>49.385499999999993</v>
      </c>
      <c r="H7" s="89">
        <f>6.7*0.215</f>
        <v>1.4405000000000001</v>
      </c>
      <c r="I7" s="89">
        <f>1.1*0.215</f>
        <v>0.23650000000000002</v>
      </c>
      <c r="J7" s="92">
        <f>48.3*0.215</f>
        <v>10.384499999999999</v>
      </c>
    </row>
    <row r="8" spans="1:12" s="38" customFormat="1" ht="15.75" thickBot="1" x14ac:dyDescent="0.3">
      <c r="A8" s="78"/>
      <c r="B8" s="9" t="s">
        <v>44</v>
      </c>
      <c r="C8" s="10" t="s">
        <v>45</v>
      </c>
      <c r="D8" s="10" t="s">
        <v>63</v>
      </c>
      <c r="E8" s="46">
        <v>170</v>
      </c>
      <c r="F8" s="11">
        <v>19.61</v>
      </c>
      <c r="G8" s="47">
        <f>47*1.7</f>
        <v>79.899999999999991</v>
      </c>
      <c r="H8" s="18">
        <f>0.4*1.7</f>
        <v>0.68</v>
      </c>
      <c r="I8" s="18">
        <f>0.4*1.7</f>
        <v>0.68</v>
      </c>
      <c r="J8" s="30">
        <f>9.8*1.7</f>
        <v>16.66</v>
      </c>
    </row>
    <row r="9" spans="1:12" ht="16.5" thickBot="1" x14ac:dyDescent="0.3">
      <c r="A9" s="57" t="s">
        <v>15</v>
      </c>
      <c r="B9" s="82"/>
      <c r="C9" s="82"/>
      <c r="D9" s="82"/>
      <c r="E9" s="83"/>
      <c r="F9" s="84">
        <f>SUM(F3:F8)</f>
        <v>97.149999999999991</v>
      </c>
      <c r="G9" s="84">
        <f>SUM(G3:G8)</f>
        <v>571.01772222222212</v>
      </c>
      <c r="H9" s="85">
        <f>SUM(H3:H8)</f>
        <v>41.528722222222221</v>
      </c>
      <c r="I9" s="86">
        <f>SUM(I3:I8)</f>
        <v>54.792944444444444</v>
      </c>
      <c r="J9" s="87">
        <f>SUM(J3:J8)</f>
        <v>242.74494444444443</v>
      </c>
    </row>
    <row r="10" spans="1:12" x14ac:dyDescent="0.25">
      <c r="A10" s="56" t="s">
        <v>27</v>
      </c>
      <c r="B10" s="20" t="s">
        <v>16</v>
      </c>
      <c r="C10" s="21" t="s">
        <v>37</v>
      </c>
      <c r="D10" s="21" t="s">
        <v>38</v>
      </c>
      <c r="E10" s="13" t="s">
        <v>39</v>
      </c>
      <c r="F10" s="14">
        <v>15.51</v>
      </c>
      <c r="G10" s="14">
        <f>429*0.25+162*0.1</f>
        <v>123.45</v>
      </c>
      <c r="H10" s="14">
        <f>8.07*0.25+2.6*0.1</f>
        <v>2.2774999999999999</v>
      </c>
      <c r="I10" s="14">
        <f>20.36*0.25+15*0.1</f>
        <v>6.59</v>
      </c>
      <c r="J10" s="15">
        <f>47.92*0.25+3.6*0.1</f>
        <v>12.34</v>
      </c>
      <c r="K10"/>
    </row>
    <row r="11" spans="1:12" x14ac:dyDescent="0.25">
      <c r="A11" s="56"/>
      <c r="B11" s="7" t="s">
        <v>13</v>
      </c>
      <c r="C11" s="5" t="s">
        <v>40</v>
      </c>
      <c r="D11" s="5" t="s">
        <v>41</v>
      </c>
      <c r="E11" s="16">
        <v>28</v>
      </c>
      <c r="F11" s="6">
        <v>13.22</v>
      </c>
      <c r="G11" s="23">
        <f>182/50*28</f>
        <v>101.92</v>
      </c>
      <c r="H11" s="23">
        <f>6.74/50*28</f>
        <v>3.7744</v>
      </c>
      <c r="I11" s="23">
        <f>13.91/50*28</f>
        <v>7.7896000000000001</v>
      </c>
      <c r="J11" s="24">
        <f>7.09/50*28</f>
        <v>3.9704000000000002</v>
      </c>
      <c r="K11"/>
    </row>
    <row r="12" spans="1:12" s="28" customFormat="1" x14ac:dyDescent="0.25">
      <c r="A12" s="56"/>
      <c r="B12" s="7" t="s">
        <v>17</v>
      </c>
      <c r="C12" s="5" t="s">
        <v>42</v>
      </c>
      <c r="D12" s="5" t="s">
        <v>43</v>
      </c>
      <c r="E12" s="16">
        <v>100</v>
      </c>
      <c r="F12" s="6">
        <v>9.16</v>
      </c>
      <c r="G12" s="44">
        <v>162.5</v>
      </c>
      <c r="H12" s="44">
        <v>5.73</v>
      </c>
      <c r="I12" s="44">
        <v>4.0599999999999996</v>
      </c>
      <c r="J12" s="45">
        <v>25.76</v>
      </c>
      <c r="K12"/>
    </row>
    <row r="13" spans="1:12" s="28" customFormat="1" x14ac:dyDescent="0.25">
      <c r="A13" s="56"/>
      <c r="B13" s="7" t="s">
        <v>18</v>
      </c>
      <c r="C13" s="5" t="s">
        <v>19</v>
      </c>
      <c r="D13" s="5" t="s">
        <v>20</v>
      </c>
      <c r="E13" s="16" t="s">
        <v>33</v>
      </c>
      <c r="F13" s="6">
        <v>3.04</v>
      </c>
      <c r="G13" s="6">
        <v>60</v>
      </c>
      <c r="H13" s="6">
        <v>7.0000000000000007E-2</v>
      </c>
      <c r="I13" s="6">
        <v>0.02</v>
      </c>
      <c r="J13" s="8">
        <v>15</v>
      </c>
    </row>
    <row r="14" spans="1:12" ht="15.75" thickBot="1" x14ac:dyDescent="0.3">
      <c r="A14" s="56"/>
      <c r="B14" s="9" t="s">
        <v>14</v>
      </c>
      <c r="C14" s="10" t="s">
        <v>31</v>
      </c>
      <c r="D14" s="10" t="s">
        <v>32</v>
      </c>
      <c r="E14" s="17">
        <v>35</v>
      </c>
      <c r="F14" s="18">
        <v>1.36</v>
      </c>
      <c r="G14" s="18">
        <f>229.7*0.35</f>
        <v>80.394999999999996</v>
      </c>
      <c r="H14" s="11">
        <f>6.7*0.35</f>
        <v>2.3449999999999998</v>
      </c>
      <c r="I14" s="11">
        <f>1.1*0.35</f>
        <v>0.38500000000000001</v>
      </c>
      <c r="J14" s="12">
        <f>48.3*0.35</f>
        <v>16.904999999999998</v>
      </c>
    </row>
    <row r="15" spans="1:12" ht="16.5" thickBot="1" x14ac:dyDescent="0.3">
      <c r="A15" s="74" t="s">
        <v>15</v>
      </c>
      <c r="B15" s="75"/>
      <c r="C15" s="75"/>
      <c r="D15" s="75"/>
      <c r="E15" s="76"/>
      <c r="F15" s="27">
        <f>SUM(F10:F14)</f>
        <v>42.29</v>
      </c>
      <c r="G15" s="27">
        <f t="shared" ref="G15:J15" si="0">SUM(G10:G14)</f>
        <v>528.26499999999999</v>
      </c>
      <c r="H15" s="27">
        <f t="shared" si="0"/>
        <v>14.196899999999999</v>
      </c>
      <c r="I15" s="27">
        <f t="shared" si="0"/>
        <v>18.8446</v>
      </c>
      <c r="J15" s="27">
        <f t="shared" si="0"/>
        <v>73.975400000000008</v>
      </c>
    </row>
    <row r="16" spans="1:12" s="37" customFormat="1" x14ac:dyDescent="0.25">
      <c r="A16" s="62" t="s">
        <v>28</v>
      </c>
      <c r="B16" s="20" t="s">
        <v>16</v>
      </c>
      <c r="C16" s="21" t="s">
        <v>37</v>
      </c>
      <c r="D16" s="21" t="s">
        <v>38</v>
      </c>
      <c r="E16" s="13" t="s">
        <v>39</v>
      </c>
      <c r="F16" s="14">
        <v>15.51</v>
      </c>
      <c r="G16" s="14">
        <f>429*0.25+162*0.1</f>
        <v>123.45</v>
      </c>
      <c r="H16" s="14">
        <f>8.07*0.25+2.6*0.1</f>
        <v>2.2774999999999999</v>
      </c>
      <c r="I16" s="14">
        <f>20.36*0.25+15*0.1</f>
        <v>6.59</v>
      </c>
      <c r="J16" s="15">
        <f>47.92*0.25+3.6*0.1</f>
        <v>12.34</v>
      </c>
    </row>
    <row r="17" spans="1:11" s="49" customFormat="1" x14ac:dyDescent="0.25">
      <c r="A17" s="63"/>
      <c r="B17" s="7" t="s">
        <v>13</v>
      </c>
      <c r="C17" s="41" t="s">
        <v>48</v>
      </c>
      <c r="D17" s="43" t="s">
        <v>49</v>
      </c>
      <c r="E17" s="16" t="s">
        <v>64</v>
      </c>
      <c r="F17" s="6">
        <v>45.67</v>
      </c>
      <c r="G17" s="44">
        <f>282*0.75+260*0.1</f>
        <v>237.5</v>
      </c>
      <c r="H17" s="44">
        <f>15.12*0.75+7.5*0.1</f>
        <v>12.09</v>
      </c>
      <c r="I17" s="44">
        <f>14.1*0.75+0.2*0.1</f>
        <v>10.594999999999999</v>
      </c>
      <c r="J17" s="45">
        <f>22.5*0.75+56.8*0.1</f>
        <v>22.555</v>
      </c>
    </row>
    <row r="18" spans="1:11" s="26" customFormat="1" x14ac:dyDescent="0.25">
      <c r="A18" s="63"/>
      <c r="B18" s="7" t="s">
        <v>13</v>
      </c>
      <c r="C18" s="5" t="s">
        <v>40</v>
      </c>
      <c r="D18" s="5" t="s">
        <v>41</v>
      </c>
      <c r="E18" s="16">
        <v>50</v>
      </c>
      <c r="F18" s="6">
        <v>23.6</v>
      </c>
      <c r="G18" s="23">
        <f>182/50*50</f>
        <v>182</v>
      </c>
      <c r="H18" s="23">
        <f>6.74/50*50</f>
        <v>6.74</v>
      </c>
      <c r="I18" s="23">
        <f>13.91/50*50</f>
        <v>13.91</v>
      </c>
      <c r="J18" s="24">
        <f>7.09/50*50</f>
        <v>7.0900000000000007</v>
      </c>
      <c r="K18"/>
    </row>
    <row r="19" spans="1:11" s="35" customFormat="1" x14ac:dyDescent="0.25">
      <c r="A19" s="63"/>
      <c r="B19" s="7" t="s">
        <v>17</v>
      </c>
      <c r="C19" s="5" t="s">
        <v>42</v>
      </c>
      <c r="D19" s="5" t="s">
        <v>43</v>
      </c>
      <c r="E19" s="16">
        <v>100</v>
      </c>
      <c r="F19" s="6">
        <v>9.16</v>
      </c>
      <c r="G19" s="44">
        <f>162.5*1</f>
        <v>162.5</v>
      </c>
      <c r="H19" s="44">
        <f>5.73*1</f>
        <v>5.73</v>
      </c>
      <c r="I19" s="44">
        <f>4.06*1</f>
        <v>4.0599999999999996</v>
      </c>
      <c r="J19" s="45">
        <f>25.76*1</f>
        <v>25.76</v>
      </c>
      <c r="K19"/>
    </row>
    <row r="20" spans="1:11" s="34" customFormat="1" x14ac:dyDescent="0.25">
      <c r="A20" s="63"/>
      <c r="B20" s="7" t="s">
        <v>18</v>
      </c>
      <c r="C20" s="5" t="s">
        <v>19</v>
      </c>
      <c r="D20" s="5" t="s">
        <v>20</v>
      </c>
      <c r="E20" s="16" t="s">
        <v>33</v>
      </c>
      <c r="F20" s="6">
        <v>3.04</v>
      </c>
      <c r="G20" s="6">
        <v>60</v>
      </c>
      <c r="H20" s="6">
        <v>7.0000000000000007E-2</v>
      </c>
      <c r="I20" s="6">
        <v>0.02</v>
      </c>
      <c r="J20" s="8">
        <v>15</v>
      </c>
    </row>
    <row r="21" spans="1:11" s="34" customFormat="1" ht="15.75" thickBot="1" x14ac:dyDescent="0.3">
      <c r="A21" s="63"/>
      <c r="B21" s="9" t="s">
        <v>14</v>
      </c>
      <c r="C21" s="10" t="s">
        <v>31</v>
      </c>
      <c r="D21" s="10" t="s">
        <v>32</v>
      </c>
      <c r="E21" s="17">
        <v>5</v>
      </c>
      <c r="F21" s="18">
        <v>0.17</v>
      </c>
      <c r="G21" s="18">
        <f>229.7*0.05</f>
        <v>11.484999999999999</v>
      </c>
      <c r="H21" s="11">
        <f>6.7*0.05</f>
        <v>0.33500000000000002</v>
      </c>
      <c r="I21" s="11">
        <f>1.1*0.05</f>
        <v>5.5000000000000007E-2</v>
      </c>
      <c r="J21" s="12">
        <f>48.3*0.05</f>
        <v>2.415</v>
      </c>
    </row>
    <row r="22" spans="1:11" s="29" customFormat="1" ht="16.5" thickBot="1" x14ac:dyDescent="0.3">
      <c r="A22" s="57" t="s">
        <v>15</v>
      </c>
      <c r="B22" s="60"/>
      <c r="C22" s="60"/>
      <c r="D22" s="60"/>
      <c r="E22" s="77"/>
      <c r="F22" s="19">
        <f>SUM(F16:F21)</f>
        <v>97.15</v>
      </c>
      <c r="G22" s="19">
        <f>SUM(G16:G21)</f>
        <v>776.93500000000006</v>
      </c>
      <c r="H22" s="19">
        <f>SUM(H16:H21)</f>
        <v>27.242500000000003</v>
      </c>
      <c r="I22" s="19">
        <f>SUM(I16:I21)</f>
        <v>35.230000000000004</v>
      </c>
      <c r="J22" s="19">
        <f>SUM(J16:J21)</f>
        <v>85.160000000000011</v>
      </c>
      <c r="K22"/>
    </row>
    <row r="23" spans="1:11" s="34" customFormat="1" x14ac:dyDescent="0.25">
      <c r="A23" s="56" t="s">
        <v>29</v>
      </c>
      <c r="B23" s="20" t="s">
        <v>18</v>
      </c>
      <c r="C23" s="21" t="s">
        <v>19</v>
      </c>
      <c r="D23" s="21" t="s">
        <v>20</v>
      </c>
      <c r="E23" s="13" t="s">
        <v>33</v>
      </c>
      <c r="F23" s="14">
        <v>3.04</v>
      </c>
      <c r="G23" s="14">
        <v>60</v>
      </c>
      <c r="H23" s="14">
        <v>7.0000000000000007E-2</v>
      </c>
      <c r="I23" s="14">
        <v>0.02</v>
      </c>
      <c r="J23" s="15">
        <v>15</v>
      </c>
      <c r="K23"/>
    </row>
    <row r="24" spans="1:11" s="40" customFormat="1" x14ac:dyDescent="0.25">
      <c r="A24" s="56"/>
      <c r="B24" s="93" t="s">
        <v>52</v>
      </c>
      <c r="C24" s="94" t="s">
        <v>53</v>
      </c>
      <c r="D24" s="94" t="s">
        <v>65</v>
      </c>
      <c r="E24" s="95">
        <v>60</v>
      </c>
      <c r="F24" s="96">
        <v>15.54</v>
      </c>
      <c r="G24" s="96">
        <f>330*0.6</f>
        <v>198</v>
      </c>
      <c r="H24" s="96">
        <f>1*0.6</f>
        <v>0.6</v>
      </c>
      <c r="I24" s="96">
        <f>0</f>
        <v>0</v>
      </c>
      <c r="J24" s="97">
        <f>81*0.6</f>
        <v>48.6</v>
      </c>
      <c r="K24"/>
    </row>
    <row r="25" spans="1:11" s="35" customFormat="1" ht="15.75" thickBot="1" x14ac:dyDescent="0.3">
      <c r="A25" s="56"/>
      <c r="B25" s="9" t="s">
        <v>44</v>
      </c>
      <c r="C25" s="10" t="s">
        <v>45</v>
      </c>
      <c r="D25" s="10" t="s">
        <v>63</v>
      </c>
      <c r="E25" s="46">
        <v>205</v>
      </c>
      <c r="F25" s="11">
        <v>23.71</v>
      </c>
      <c r="G25" s="47">
        <f>47*2.05</f>
        <v>96.35</v>
      </c>
      <c r="H25" s="18">
        <f>0.4*2.05</f>
        <v>0.82</v>
      </c>
      <c r="I25" s="18">
        <f>0.4*2.05</f>
        <v>0.82</v>
      </c>
      <c r="J25" s="30">
        <f>9.8*2.05</f>
        <v>20.09</v>
      </c>
    </row>
    <row r="26" spans="1:11" ht="16.5" thickBot="1" x14ac:dyDescent="0.3">
      <c r="A26" s="79" t="s">
        <v>15</v>
      </c>
      <c r="B26" s="80"/>
      <c r="C26" s="80"/>
      <c r="D26" s="80"/>
      <c r="E26" s="81"/>
      <c r="F26" s="3">
        <f>SUM(F23:F25)</f>
        <v>42.29</v>
      </c>
      <c r="G26" s="3">
        <f>SUM(G23:G25)</f>
        <v>354.35</v>
      </c>
      <c r="H26" s="3">
        <f>SUM(H23:H25)</f>
        <v>1.4899999999999998</v>
      </c>
      <c r="I26" s="3">
        <f>SUM(I23:I25)</f>
        <v>0.84</v>
      </c>
      <c r="J26" s="3">
        <f>SUM(J23:J25)</f>
        <v>83.69</v>
      </c>
      <c r="K26"/>
    </row>
    <row r="27" spans="1:11" x14ac:dyDescent="0.25">
      <c r="A27" s="78" t="s">
        <v>55</v>
      </c>
      <c r="B27" s="20" t="s">
        <v>13</v>
      </c>
      <c r="C27" s="21" t="s">
        <v>50</v>
      </c>
      <c r="D27" s="21" t="s">
        <v>51</v>
      </c>
      <c r="E27" s="13">
        <v>50</v>
      </c>
      <c r="F27" s="14">
        <v>40.14</v>
      </c>
      <c r="G27" s="90">
        <f>129.15*1</f>
        <v>129.15</v>
      </c>
      <c r="H27" s="90">
        <f>17.2*1</f>
        <v>17.2</v>
      </c>
      <c r="I27" s="90">
        <f>3.8*1</f>
        <v>3.8</v>
      </c>
      <c r="J27" s="91">
        <f>6.6*1</f>
        <v>6.6</v>
      </c>
    </row>
    <row r="28" spans="1:11" x14ac:dyDescent="0.25">
      <c r="A28" s="78"/>
      <c r="B28" s="7" t="s">
        <v>17</v>
      </c>
      <c r="C28" s="5" t="s">
        <v>61</v>
      </c>
      <c r="D28" s="5" t="s">
        <v>62</v>
      </c>
      <c r="E28" s="16">
        <v>120</v>
      </c>
      <c r="F28" s="6">
        <v>11.94</v>
      </c>
      <c r="G28" s="44">
        <f>112.3*1.2</f>
        <v>134.76</v>
      </c>
      <c r="H28" s="44">
        <f>3.68*1.2</f>
        <v>4.4160000000000004</v>
      </c>
      <c r="I28" s="44">
        <f>3.01*1.2</f>
        <v>3.6119999999999997</v>
      </c>
      <c r="J28" s="45">
        <f>17.63*1.2</f>
        <v>21.155999999999999</v>
      </c>
    </row>
    <row r="29" spans="1:11" x14ac:dyDescent="0.25">
      <c r="A29" s="78"/>
      <c r="B29" s="7" t="s">
        <v>18</v>
      </c>
      <c r="C29" s="5" t="s">
        <v>19</v>
      </c>
      <c r="D29" s="5" t="s">
        <v>20</v>
      </c>
      <c r="E29" s="16" t="s">
        <v>33</v>
      </c>
      <c r="F29" s="6">
        <v>3.04</v>
      </c>
      <c r="G29" s="6">
        <v>60</v>
      </c>
      <c r="H29" s="6">
        <v>7.0000000000000007E-2</v>
      </c>
      <c r="I29" s="6">
        <v>0.02</v>
      </c>
      <c r="J29" s="8">
        <v>15</v>
      </c>
    </row>
    <row r="30" spans="1:11" ht="15.75" x14ac:dyDescent="0.25">
      <c r="A30" s="78"/>
      <c r="B30" s="7" t="s">
        <v>21</v>
      </c>
      <c r="C30" s="41" t="s">
        <v>47</v>
      </c>
      <c r="D30" s="88" t="s">
        <v>54</v>
      </c>
      <c r="E30" s="16">
        <v>55</v>
      </c>
      <c r="F30" s="6">
        <v>21.59</v>
      </c>
      <c r="G30" s="42">
        <f>192.8/90*55</f>
        <v>117.82222222222222</v>
      </c>
      <c r="H30" s="23">
        <f>2.9/9*55</f>
        <v>17.722222222222221</v>
      </c>
      <c r="I30" s="23">
        <f>7.6/9*55</f>
        <v>46.444444444444443</v>
      </c>
      <c r="J30" s="24">
        <f>28.3/9*55</f>
        <v>172.94444444444443</v>
      </c>
    </row>
    <row r="31" spans="1:11" ht="15.75" thickBot="1" x14ac:dyDescent="0.3">
      <c r="A31" s="78"/>
      <c r="B31" s="9" t="s">
        <v>14</v>
      </c>
      <c r="C31" s="10" t="s">
        <v>31</v>
      </c>
      <c r="D31" s="10" t="s">
        <v>32</v>
      </c>
      <c r="E31" s="17">
        <v>7.5</v>
      </c>
      <c r="F31" s="18">
        <v>0.28999999999999998</v>
      </c>
      <c r="G31" s="18">
        <f>229.7*0.075</f>
        <v>17.227499999999999</v>
      </c>
      <c r="H31" s="11">
        <f>6.7*0.075</f>
        <v>0.50249999999999995</v>
      </c>
      <c r="I31" s="11">
        <f>1.1*0.075</f>
        <v>8.2500000000000004E-2</v>
      </c>
      <c r="J31" s="12">
        <f>48.3*0.075</f>
        <v>3.6224999999999996</v>
      </c>
    </row>
    <row r="32" spans="1:11" ht="16.5" thickBot="1" x14ac:dyDescent="0.3">
      <c r="A32" s="59" t="s">
        <v>15</v>
      </c>
      <c r="B32" s="60"/>
      <c r="C32" s="60"/>
      <c r="D32" s="60"/>
      <c r="E32" s="61"/>
      <c r="F32" s="19">
        <f>SUM(F27:F31)</f>
        <v>77</v>
      </c>
      <c r="G32" s="19">
        <f>SUM(G27:G31)</f>
        <v>458.95972222222218</v>
      </c>
      <c r="H32" s="19">
        <f>SUM(H27:H31)</f>
        <v>39.910722222222219</v>
      </c>
      <c r="I32" s="19">
        <f>SUM(I27:I31)</f>
        <v>53.958944444444448</v>
      </c>
      <c r="J32" s="19">
        <f>SUM(J27:J31)</f>
        <v>219.32294444444443</v>
      </c>
    </row>
    <row r="33" spans="1:10" x14ac:dyDescent="0.25">
      <c r="A33" s="62" t="s">
        <v>34</v>
      </c>
      <c r="B33" s="20" t="s">
        <v>13</v>
      </c>
      <c r="C33" s="21" t="s">
        <v>61</v>
      </c>
      <c r="D33" s="21" t="s">
        <v>66</v>
      </c>
      <c r="E33" s="13" t="s">
        <v>67</v>
      </c>
      <c r="F33" s="14">
        <v>23</v>
      </c>
      <c r="G33" s="90">
        <f>1123*0.15+364*0.08</f>
        <v>197.57</v>
      </c>
      <c r="H33" s="90">
        <f>36.78*0.15+23.2*0.08</f>
        <v>7.3730000000000002</v>
      </c>
      <c r="I33" s="90">
        <f>30.1*0.15+29.5*0.08</f>
        <v>6.875</v>
      </c>
      <c r="J33" s="91">
        <f>176.3*0.15</f>
        <v>26.445</v>
      </c>
    </row>
    <row r="34" spans="1:10" x14ac:dyDescent="0.25">
      <c r="A34" s="63"/>
      <c r="B34" s="7" t="s">
        <v>18</v>
      </c>
      <c r="C34" s="5" t="s">
        <v>19</v>
      </c>
      <c r="D34" s="5" t="s">
        <v>20</v>
      </c>
      <c r="E34" s="16" t="s">
        <v>33</v>
      </c>
      <c r="F34" s="6">
        <v>3.04</v>
      </c>
      <c r="G34" s="6">
        <v>60</v>
      </c>
      <c r="H34" s="6">
        <v>7.0000000000000007E-2</v>
      </c>
      <c r="I34" s="6">
        <v>0.02</v>
      </c>
      <c r="J34" s="8">
        <v>15</v>
      </c>
    </row>
    <row r="35" spans="1:10" ht="15.75" thickBot="1" x14ac:dyDescent="0.3">
      <c r="A35" s="64"/>
      <c r="B35" s="9" t="s">
        <v>14</v>
      </c>
      <c r="C35" s="10" t="s">
        <v>31</v>
      </c>
      <c r="D35" s="10" t="s">
        <v>32</v>
      </c>
      <c r="E35" s="17">
        <v>25</v>
      </c>
      <c r="F35" s="18">
        <v>0.96</v>
      </c>
      <c r="G35" s="18">
        <f>229.7*0.25</f>
        <v>57.424999999999997</v>
      </c>
      <c r="H35" s="11">
        <f>6.7*0.25</f>
        <v>1.675</v>
      </c>
      <c r="I35" s="11">
        <f>1.1*0.25</f>
        <v>0.27500000000000002</v>
      </c>
      <c r="J35" s="12">
        <f>48.3*0.25</f>
        <v>12.074999999999999</v>
      </c>
    </row>
    <row r="36" spans="1:10" ht="16.5" thickBot="1" x14ac:dyDescent="0.3">
      <c r="A36" s="65" t="s">
        <v>15</v>
      </c>
      <c r="B36" s="60"/>
      <c r="C36" s="60"/>
      <c r="D36" s="60"/>
      <c r="E36" s="61"/>
      <c r="F36" s="19">
        <f>SUM(F33:F35)</f>
        <v>27</v>
      </c>
      <c r="G36" s="19">
        <f>SUM(G33:G35)</f>
        <v>314.995</v>
      </c>
      <c r="H36" s="19">
        <f>SUM(H33:H35)</f>
        <v>9.1180000000000003</v>
      </c>
      <c r="I36" s="19">
        <f>SUM(I33:I35)</f>
        <v>7.17</v>
      </c>
      <c r="J36" s="19">
        <f>SUM(J33:J35)</f>
        <v>53.519999999999996</v>
      </c>
    </row>
    <row r="37" spans="1:10" ht="48" customHeight="1" x14ac:dyDescent="0.25">
      <c r="A37" s="66" t="s">
        <v>35</v>
      </c>
      <c r="B37" s="20" t="s">
        <v>30</v>
      </c>
      <c r="C37" s="21" t="s">
        <v>68</v>
      </c>
      <c r="D37" s="21" t="s">
        <v>69</v>
      </c>
      <c r="E37" s="13" t="s">
        <v>70</v>
      </c>
      <c r="F37" s="14">
        <v>3.96</v>
      </c>
      <c r="G37" s="14">
        <f>250*0.2+229.7*0.275</f>
        <v>113.1675</v>
      </c>
      <c r="H37" s="14">
        <f>0.4*0.2+6.7*0.275</f>
        <v>1.9225000000000003</v>
      </c>
      <c r="I37" s="14">
        <f>0+1.1*0.275</f>
        <v>0.30250000000000005</v>
      </c>
      <c r="J37" s="15">
        <f>65*0.2+48.3*0.275</f>
        <v>26.282499999999999</v>
      </c>
    </row>
    <row r="38" spans="1:10" ht="15.75" thickBot="1" x14ac:dyDescent="0.3">
      <c r="A38" s="67"/>
      <c r="B38" s="9" t="s">
        <v>18</v>
      </c>
      <c r="C38" s="10" t="s">
        <v>19</v>
      </c>
      <c r="D38" s="10" t="s">
        <v>20</v>
      </c>
      <c r="E38" s="17" t="s">
        <v>33</v>
      </c>
      <c r="F38" s="18">
        <v>3.04</v>
      </c>
      <c r="G38" s="18">
        <v>60</v>
      </c>
      <c r="H38" s="18">
        <v>7.0000000000000007E-2</v>
      </c>
      <c r="I38" s="18">
        <v>0.02</v>
      </c>
      <c r="J38" s="30">
        <v>15</v>
      </c>
    </row>
    <row r="39" spans="1:10" ht="16.5" thickBot="1" x14ac:dyDescent="0.3">
      <c r="A39" s="68" t="s">
        <v>15</v>
      </c>
      <c r="B39" s="60"/>
      <c r="C39" s="60"/>
      <c r="D39" s="60"/>
      <c r="E39" s="61"/>
      <c r="F39" s="19">
        <f>SUM(F37:F38)</f>
        <v>7</v>
      </c>
      <c r="G39" s="19">
        <f>SUM(G37:G38)</f>
        <v>173.16750000000002</v>
      </c>
      <c r="H39" s="19">
        <f t="shared" ref="H39:J39" si="1">SUM(H37:H38)</f>
        <v>1.9925000000000004</v>
      </c>
      <c r="I39" s="19">
        <f t="shared" si="1"/>
        <v>0.32250000000000006</v>
      </c>
      <c r="J39" s="19">
        <f t="shared" si="1"/>
        <v>41.282499999999999</v>
      </c>
    </row>
    <row r="40" spans="1:10" x14ac:dyDescent="0.25">
      <c r="A40" s="55" t="s">
        <v>36</v>
      </c>
      <c r="B40" s="20" t="s">
        <v>16</v>
      </c>
      <c r="C40" s="21" t="s">
        <v>37</v>
      </c>
      <c r="D40" s="21" t="s">
        <v>38</v>
      </c>
      <c r="E40" s="13" t="s">
        <v>39</v>
      </c>
      <c r="F40" s="14">
        <v>15.51</v>
      </c>
      <c r="G40" s="14">
        <f>429*0.25+162*0.1</f>
        <v>123.45</v>
      </c>
      <c r="H40" s="14">
        <f>8.07*0.25+2.6*0.1</f>
        <v>2.2774999999999999</v>
      </c>
      <c r="I40" s="14">
        <f>20.36*0.25+15*0.1</f>
        <v>6.59</v>
      </c>
      <c r="J40" s="15">
        <f>47.92*0.25+3.6*0.1</f>
        <v>12.34</v>
      </c>
    </row>
    <row r="41" spans="1:10" x14ac:dyDescent="0.25">
      <c r="A41" s="56"/>
      <c r="B41" s="7" t="s">
        <v>13</v>
      </c>
      <c r="C41" s="5" t="s">
        <v>40</v>
      </c>
      <c r="D41" s="5" t="s">
        <v>41</v>
      </c>
      <c r="E41" s="16">
        <v>28</v>
      </c>
      <c r="F41" s="6">
        <v>13.22</v>
      </c>
      <c r="G41" s="23">
        <f>182/50*28</f>
        <v>101.92</v>
      </c>
      <c r="H41" s="23">
        <f>6.74/50*28</f>
        <v>3.7744</v>
      </c>
      <c r="I41" s="23">
        <f>13.91/50*28</f>
        <v>7.7896000000000001</v>
      </c>
      <c r="J41" s="24">
        <f>7.09/50*28</f>
        <v>3.9704000000000002</v>
      </c>
    </row>
    <row r="42" spans="1:10" x14ac:dyDescent="0.25">
      <c r="A42" s="56"/>
      <c r="B42" s="7" t="s">
        <v>17</v>
      </c>
      <c r="C42" s="5" t="s">
        <v>42</v>
      </c>
      <c r="D42" s="5" t="s">
        <v>43</v>
      </c>
      <c r="E42" s="16">
        <v>130</v>
      </c>
      <c r="F42" s="6">
        <v>11.91</v>
      </c>
      <c r="G42" s="44">
        <f>162.5*1.3</f>
        <v>211.25</v>
      </c>
      <c r="H42" s="44">
        <f>5.73*1.3</f>
        <v>7.4490000000000007</v>
      </c>
      <c r="I42" s="44">
        <f>4.06*1.3</f>
        <v>5.2779999999999996</v>
      </c>
      <c r="J42" s="45">
        <f>25.76*1.3</f>
        <v>33.488000000000007</v>
      </c>
    </row>
    <row r="43" spans="1:10" x14ac:dyDescent="0.25">
      <c r="A43" s="56"/>
      <c r="B43" s="7" t="s">
        <v>18</v>
      </c>
      <c r="C43" s="5" t="s">
        <v>19</v>
      </c>
      <c r="D43" s="5" t="s">
        <v>20</v>
      </c>
      <c r="E43" s="16" t="s">
        <v>33</v>
      </c>
      <c r="F43" s="6">
        <v>3.04</v>
      </c>
      <c r="G43" s="6">
        <v>60</v>
      </c>
      <c r="H43" s="6">
        <v>7.0000000000000007E-2</v>
      </c>
      <c r="I43" s="6">
        <v>0.02</v>
      </c>
      <c r="J43" s="8">
        <v>15</v>
      </c>
    </row>
    <row r="44" spans="1:10" ht="15.75" thickBot="1" x14ac:dyDescent="0.3">
      <c r="A44" s="56"/>
      <c r="B44" s="9" t="s">
        <v>14</v>
      </c>
      <c r="C44" s="10" t="s">
        <v>31</v>
      </c>
      <c r="D44" s="10" t="s">
        <v>32</v>
      </c>
      <c r="E44" s="17">
        <v>34</v>
      </c>
      <c r="F44" s="18">
        <v>1.32</v>
      </c>
      <c r="G44" s="18">
        <f>229.7*0.34</f>
        <v>78.097999999999999</v>
      </c>
      <c r="H44" s="11">
        <f>6.7*0.34</f>
        <v>2.278</v>
      </c>
      <c r="I44" s="11">
        <f>1.1*0.34</f>
        <v>0.37400000000000005</v>
      </c>
      <c r="J44" s="12">
        <f>48.3*0.34</f>
        <v>16.422000000000001</v>
      </c>
    </row>
    <row r="45" spans="1:10" ht="16.5" thickBot="1" x14ac:dyDescent="0.3">
      <c r="A45" s="57" t="s">
        <v>15</v>
      </c>
      <c r="B45" s="75"/>
      <c r="C45" s="75"/>
      <c r="D45" s="75"/>
      <c r="E45" s="76"/>
      <c r="F45" s="27">
        <f>SUM(F40:F44)</f>
        <v>45</v>
      </c>
      <c r="G45" s="27">
        <f>SUM(G40:G44)</f>
        <v>574.71799999999996</v>
      </c>
      <c r="H45" s="27">
        <f>SUM(H40:H44)</f>
        <v>15.848900000000002</v>
      </c>
      <c r="I45" s="27">
        <f>SUM(I40:I44)</f>
        <v>20.051599999999997</v>
      </c>
      <c r="J45" s="27">
        <f>SUM(J40:J44)</f>
        <v>81.220400000000012</v>
      </c>
    </row>
    <row r="46" spans="1:10" x14ac:dyDescent="0.25">
      <c r="A46" s="56" t="s">
        <v>56</v>
      </c>
      <c r="B46" s="20" t="s">
        <v>16</v>
      </c>
      <c r="C46" s="21" t="s">
        <v>37</v>
      </c>
      <c r="D46" s="21" t="s">
        <v>38</v>
      </c>
      <c r="E46" s="13" t="s">
        <v>39</v>
      </c>
      <c r="F46" s="14">
        <v>15.51</v>
      </c>
      <c r="G46" s="14">
        <f>429*0.25+162*0.1</f>
        <v>123.45</v>
      </c>
      <c r="H46" s="14">
        <f>8.07*0.25+2.6*0.1</f>
        <v>2.2774999999999999</v>
      </c>
      <c r="I46" s="14">
        <f>20.36*0.25+15*0.1</f>
        <v>6.59</v>
      </c>
      <c r="J46" s="15">
        <f>47.92*0.25+3.6*0.1</f>
        <v>12.34</v>
      </c>
    </row>
    <row r="47" spans="1:10" x14ac:dyDescent="0.25">
      <c r="A47" s="56"/>
      <c r="B47" s="7" t="s">
        <v>13</v>
      </c>
      <c r="C47" s="5" t="s">
        <v>40</v>
      </c>
      <c r="D47" s="5" t="s">
        <v>41</v>
      </c>
      <c r="E47" s="16">
        <v>50</v>
      </c>
      <c r="F47" s="6">
        <v>23.6</v>
      </c>
      <c r="G47" s="23">
        <f>182/50*50</f>
        <v>182</v>
      </c>
      <c r="H47" s="23">
        <f>6.74/50*50</f>
        <v>6.74</v>
      </c>
      <c r="I47" s="23">
        <f>13.91/50*50</f>
        <v>13.91</v>
      </c>
      <c r="J47" s="24">
        <f>7.09/50*50</f>
        <v>7.0900000000000007</v>
      </c>
    </row>
    <row r="48" spans="1:10" x14ac:dyDescent="0.25">
      <c r="A48" s="56"/>
      <c r="B48" s="7" t="s">
        <v>17</v>
      </c>
      <c r="C48" s="5" t="s">
        <v>42</v>
      </c>
      <c r="D48" s="5" t="s">
        <v>43</v>
      </c>
      <c r="E48" s="16">
        <v>120</v>
      </c>
      <c r="F48" s="6">
        <v>10.99</v>
      </c>
      <c r="G48" s="44">
        <f>162.5*1.2</f>
        <v>195</v>
      </c>
      <c r="H48" s="44">
        <f>5.73*1.2</f>
        <v>6.8760000000000003</v>
      </c>
      <c r="I48" s="44">
        <f>4.06*1.2</f>
        <v>4.871999999999999</v>
      </c>
      <c r="J48" s="45">
        <f>25.76*1.2</f>
        <v>30.911999999999999</v>
      </c>
    </row>
    <row r="49" spans="1:10" x14ac:dyDescent="0.25">
      <c r="A49" s="56"/>
      <c r="B49" s="7" t="s">
        <v>58</v>
      </c>
      <c r="C49" s="5" t="s">
        <v>59</v>
      </c>
      <c r="D49" s="5" t="s">
        <v>60</v>
      </c>
      <c r="E49" s="16">
        <v>200</v>
      </c>
      <c r="F49" s="6">
        <v>21.71</v>
      </c>
      <c r="G49" s="6">
        <v>104</v>
      </c>
      <c r="H49" s="6">
        <v>0.6</v>
      </c>
      <c r="I49" s="6">
        <v>0.2</v>
      </c>
      <c r="J49" s="8">
        <v>23.6</v>
      </c>
    </row>
    <row r="50" spans="1:10" x14ac:dyDescent="0.25">
      <c r="A50" s="56"/>
      <c r="B50" s="7" t="s">
        <v>52</v>
      </c>
      <c r="C50" s="5" t="s">
        <v>53</v>
      </c>
      <c r="D50" s="5" t="s">
        <v>57</v>
      </c>
      <c r="E50" s="16">
        <v>18</v>
      </c>
      <c r="F50" s="6">
        <v>3.89</v>
      </c>
      <c r="G50" s="6">
        <f>420*0.18</f>
        <v>75.599999999999994</v>
      </c>
      <c r="H50" s="6">
        <f>6.9*0.18</f>
        <v>1.242</v>
      </c>
      <c r="I50" s="6">
        <f>14.7*0.18</f>
        <v>2.6459999999999999</v>
      </c>
      <c r="J50" s="8">
        <f>65*0.18</f>
        <v>11.7</v>
      </c>
    </row>
    <row r="51" spans="1:10" ht="15.75" thickBot="1" x14ac:dyDescent="0.3">
      <c r="A51" s="56"/>
      <c r="B51" s="9" t="s">
        <v>14</v>
      </c>
      <c r="C51" s="10" t="s">
        <v>31</v>
      </c>
      <c r="D51" s="10" t="s">
        <v>32</v>
      </c>
      <c r="E51" s="17">
        <v>33.5</v>
      </c>
      <c r="F51" s="18">
        <v>1.3</v>
      </c>
      <c r="G51" s="18">
        <f>229.7*0.335</f>
        <v>76.9495</v>
      </c>
      <c r="H51" s="11">
        <f>6.7*0.335</f>
        <v>2.2445000000000004</v>
      </c>
      <c r="I51" s="11">
        <f>1.1*0.335</f>
        <v>0.36850000000000005</v>
      </c>
      <c r="J51" s="12">
        <f>48.3*0.335</f>
        <v>16.180499999999999</v>
      </c>
    </row>
    <row r="52" spans="1:10" ht="16.5" thickBot="1" x14ac:dyDescent="0.3">
      <c r="A52" s="57" t="s">
        <v>15</v>
      </c>
      <c r="B52" s="82"/>
      <c r="C52" s="82"/>
      <c r="D52" s="82"/>
      <c r="E52" s="98"/>
      <c r="F52" s="86">
        <f>SUM(F46:F51)</f>
        <v>77</v>
      </c>
      <c r="G52" s="86">
        <f>SUM(G46:G51)</f>
        <v>756.99950000000013</v>
      </c>
      <c r="H52" s="86">
        <f>SUM(H46:H51)</f>
        <v>19.980000000000004</v>
      </c>
      <c r="I52" s="86">
        <f>SUM(I46:I51)</f>
        <v>28.586500000000001</v>
      </c>
      <c r="J52" s="86">
        <f>SUM(J46:J51)</f>
        <v>101.82250000000001</v>
      </c>
    </row>
    <row r="53" spans="1:10" x14ac:dyDescent="0.25">
      <c r="A53" s="51"/>
      <c r="B53" s="51"/>
      <c r="C53" s="51"/>
      <c r="D53" s="51"/>
      <c r="E53" s="51"/>
      <c r="F53" s="51"/>
      <c r="G53" s="51"/>
      <c r="H53" s="51"/>
      <c r="I53" s="51"/>
      <c r="J53" s="51"/>
    </row>
    <row r="54" spans="1:10" ht="15.75" thickBot="1" x14ac:dyDescent="0.3">
      <c r="A54" s="58" t="s">
        <v>25</v>
      </c>
      <c r="B54" s="58"/>
      <c r="C54" s="58"/>
      <c r="D54" s="58"/>
      <c r="E54" s="58"/>
      <c r="F54" s="58"/>
      <c r="G54" s="58"/>
      <c r="H54" s="58"/>
      <c r="I54" s="58"/>
      <c r="J54" s="58"/>
    </row>
    <row r="55" spans="1:10" ht="15.75" x14ac:dyDescent="0.25">
      <c r="A55" s="22"/>
      <c r="B55" s="22"/>
      <c r="C55" s="52" t="s">
        <v>23</v>
      </c>
      <c r="D55" s="52"/>
      <c r="E55" s="51"/>
      <c r="F55" s="51"/>
      <c r="G55" s="53"/>
      <c r="H55" s="53"/>
      <c r="I55" s="53"/>
      <c r="J55" s="53"/>
    </row>
    <row r="56" spans="1:10" x14ac:dyDescent="0.25">
      <c r="A56" s="1"/>
      <c r="B56" s="1"/>
      <c r="C56" s="1"/>
      <c r="D56" s="1"/>
      <c r="E56" s="51"/>
      <c r="F56" s="51"/>
      <c r="G56" s="51"/>
      <c r="H56" s="51"/>
      <c r="I56" s="51"/>
      <c r="J56" s="51"/>
    </row>
    <row r="57" spans="1:10" x14ac:dyDescent="0.25">
      <c r="A57" s="54" t="s">
        <v>24</v>
      </c>
      <c r="B57" s="54"/>
      <c r="C57" s="51"/>
      <c r="D57" s="51"/>
      <c r="E57" s="51"/>
      <c r="F57" s="51"/>
      <c r="G57" s="51"/>
      <c r="H57" s="51"/>
      <c r="I57" s="51"/>
      <c r="J57" s="51"/>
    </row>
    <row r="58" spans="1:10" x14ac:dyDescent="0.25">
      <c r="A58" s="54" t="s">
        <v>26</v>
      </c>
      <c r="B58" s="54"/>
      <c r="C58" s="51"/>
      <c r="D58" s="51"/>
      <c r="E58" s="51"/>
      <c r="F58" s="51"/>
      <c r="G58" s="51"/>
      <c r="H58" s="51"/>
      <c r="I58" s="51"/>
      <c r="J58" s="51"/>
    </row>
  </sheetData>
  <mergeCells count="25">
    <mergeCell ref="A22:E22"/>
    <mergeCell ref="A27:A31"/>
    <mergeCell ref="A3:A8"/>
    <mergeCell ref="A23:A25"/>
    <mergeCell ref="A26:E26"/>
    <mergeCell ref="A16:A21"/>
    <mergeCell ref="B1:C1"/>
    <mergeCell ref="G1:J1"/>
    <mergeCell ref="A9:E9"/>
    <mergeCell ref="A10:A14"/>
    <mergeCell ref="A15:E15"/>
    <mergeCell ref="A32:E32"/>
    <mergeCell ref="A33:A35"/>
    <mergeCell ref="A36:E36"/>
    <mergeCell ref="A37:A38"/>
    <mergeCell ref="A39:E39"/>
    <mergeCell ref="C55:D55"/>
    <mergeCell ref="G55:J55"/>
    <mergeCell ref="A57:B57"/>
    <mergeCell ref="A58:B58"/>
    <mergeCell ref="A40:A44"/>
    <mergeCell ref="A45:E45"/>
    <mergeCell ref="A46:A51"/>
    <mergeCell ref="A52:E52"/>
    <mergeCell ref="A54:J5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2023-02-21T10:33:57Z</dcterms:modified>
</cp:coreProperties>
</file>