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J48" i="1"/>
  <c r="I48" i="1"/>
  <c r="H48" i="1"/>
  <c r="G48" i="1"/>
  <c r="J47" i="1"/>
  <c r="I47" i="1"/>
  <c r="H47" i="1"/>
  <c r="G47" i="1"/>
  <c r="J45" i="1"/>
  <c r="I45" i="1"/>
  <c r="H45" i="1"/>
  <c r="G45" i="1"/>
  <c r="J46" i="1"/>
  <c r="I46" i="1"/>
  <c r="H46" i="1"/>
  <c r="G46" i="1"/>
  <c r="J43" i="1"/>
  <c r="I43" i="1"/>
  <c r="H43" i="1"/>
  <c r="G43" i="1"/>
  <c r="J40" i="1"/>
  <c r="I40" i="1"/>
  <c r="H40" i="1"/>
  <c r="G40" i="1"/>
  <c r="J39" i="1"/>
  <c r="I39" i="1"/>
  <c r="H39" i="1"/>
  <c r="G39" i="1"/>
  <c r="J30" i="1"/>
  <c r="I30" i="1"/>
  <c r="H30" i="1"/>
  <c r="G30" i="1"/>
  <c r="J18" i="1"/>
  <c r="I18" i="1"/>
  <c r="H18" i="1"/>
  <c r="G18" i="1"/>
  <c r="J15" i="1"/>
  <c r="I15" i="1"/>
  <c r="H15" i="1"/>
  <c r="G15" i="1"/>
  <c r="J16" i="1" l="1"/>
  <c r="I16" i="1"/>
  <c r="H16" i="1"/>
  <c r="G16" i="1"/>
  <c r="J13" i="1"/>
  <c r="I13" i="1"/>
  <c r="H13" i="1"/>
  <c r="G13" i="1"/>
  <c r="J10" i="1"/>
  <c r="I10" i="1"/>
  <c r="H10" i="1"/>
  <c r="G10" i="1"/>
  <c r="J6" i="1"/>
  <c r="I6" i="1"/>
  <c r="H6" i="1"/>
  <c r="G6" i="1"/>
  <c r="J17" i="1"/>
  <c r="I17" i="1"/>
  <c r="H17" i="1"/>
  <c r="G17" i="1"/>
  <c r="J41" i="1" l="1"/>
  <c r="I41" i="1"/>
  <c r="H41" i="1"/>
  <c r="G41" i="1"/>
  <c r="J37" i="1"/>
  <c r="I37" i="1"/>
  <c r="H37" i="1"/>
  <c r="G37" i="1"/>
  <c r="J34" i="1" l="1"/>
  <c r="I34" i="1"/>
  <c r="H34" i="1"/>
  <c r="G34" i="1"/>
  <c r="J28" i="1"/>
  <c r="I28" i="1"/>
  <c r="H28" i="1"/>
  <c r="G28" i="1"/>
  <c r="J25" i="1"/>
  <c r="I25" i="1"/>
  <c r="H25" i="1"/>
  <c r="G25" i="1"/>
  <c r="J21" i="1"/>
  <c r="I21" i="1"/>
  <c r="H21" i="1"/>
  <c r="G21" i="1"/>
  <c r="J11" i="1" l="1"/>
  <c r="I11" i="1"/>
  <c r="H11" i="1"/>
  <c r="G11" i="1"/>
  <c r="J9" i="1"/>
  <c r="I9" i="1"/>
  <c r="H9" i="1"/>
  <c r="G9" i="1"/>
  <c r="J7" i="1" l="1"/>
  <c r="I7" i="1"/>
  <c r="H7" i="1"/>
  <c r="G7" i="1"/>
  <c r="F52" i="1" l="1"/>
  <c r="J52" i="1" l="1"/>
  <c r="I52" i="1"/>
  <c r="H52" i="1"/>
  <c r="G52" i="1"/>
  <c r="J32" i="1" l="1"/>
  <c r="I32" i="1"/>
  <c r="H32" i="1"/>
  <c r="G32" i="1"/>
  <c r="J23" i="1" l="1"/>
  <c r="I23" i="1"/>
  <c r="H23" i="1"/>
  <c r="G23" i="1"/>
  <c r="J4" i="1" l="1"/>
  <c r="I4" i="1"/>
  <c r="H4" i="1"/>
  <c r="G4" i="1"/>
  <c r="J3" i="1"/>
  <c r="I3" i="1"/>
  <c r="H3" i="1"/>
  <c r="G3" i="1"/>
  <c r="J27" i="1" l="1"/>
  <c r="I27" i="1"/>
  <c r="H27" i="1"/>
  <c r="G27" i="1"/>
  <c r="F22" i="1" l="1"/>
  <c r="J22" i="1" l="1"/>
  <c r="I22" i="1"/>
  <c r="H22" i="1"/>
  <c r="G22" i="1"/>
  <c r="F44" i="1" l="1"/>
  <c r="J44" i="1"/>
  <c r="I44" i="1"/>
  <c r="H44" i="1"/>
  <c r="G44" i="1"/>
  <c r="F38" i="1"/>
  <c r="J38" i="1"/>
  <c r="I38" i="1"/>
  <c r="H38" i="1"/>
  <c r="G38" i="1"/>
  <c r="G35" i="1"/>
  <c r="F35" i="1"/>
  <c r="J35" i="1"/>
  <c r="I35" i="1"/>
  <c r="H35" i="1"/>
  <c r="F31" i="1"/>
  <c r="J31" i="1"/>
  <c r="H31" i="1"/>
  <c r="G31" i="1"/>
  <c r="I31" i="1" l="1"/>
  <c r="G8" i="1" l="1"/>
  <c r="F14" i="1" l="1"/>
  <c r="G26" i="1" l="1"/>
  <c r="H26" i="1"/>
  <c r="I26" i="1"/>
  <c r="J26" i="1"/>
  <c r="F26" i="1"/>
  <c r="J14" i="1" l="1"/>
  <c r="H14" i="1"/>
  <c r="G14" i="1"/>
  <c r="I14" i="1" l="1"/>
  <c r="F8" i="1"/>
  <c r="H8" i="1"/>
  <c r="I8" i="1"/>
  <c r="J8" i="1"/>
</calcChain>
</file>

<file path=xl/sharedStrings.xml><?xml version="1.0" encoding="utf-8"?>
<sst xmlns="http://schemas.openxmlformats.org/spreadsheetml/2006/main" count="175" uniqueCount="71">
  <si>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</si>
  <si>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</si>
  <si>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</si>
  <si>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</si>
  <si>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</si>
  <si>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</si>
  <si>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</si>
  <si>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</si>
  <si>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</si>
  <si>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</si>
  <si>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</si>
  <si>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</si>
  <si>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</si>
  <si>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</si>
  <si>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</si>
  <si>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</si>
  <si>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</si>
  <si>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</si>
  <si>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</si>
  <si>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</si>
  <si>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</si>
  <si>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</si>
  <si>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</si>
  <si>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</si>
  <si>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</si>
  <si>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</si>
  <si>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</si>
  <si>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</si>
  <si>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</si>
  <si>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</si>
  <si>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</si>
  <si>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</si>
  <si>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</si>
  <si>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</si>
  <si>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</si>
  <si>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</si>
  <si>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№302-2015г.</t>
  </si>
  <si>
    <t>Каша рассыпчатая гречневая</t>
  </si>
  <si>
    <t>Фрукт</t>
  </si>
  <si>
    <t>№338-2015г.</t>
  </si>
  <si>
    <t>Завтрак 1-4 кл и дети-инвалиды 1 смена</t>
  </si>
  <si>
    <t>№223-2015г.</t>
  </si>
  <si>
    <t>№173-2015г.</t>
  </si>
  <si>
    <t>Каша вязкая молочная из пшённой крупы с маслом</t>
  </si>
  <si>
    <t>Завтрак 5-11 кл с доплатой 70,00 руб. 1 смена</t>
  </si>
  <si>
    <t>Обед 6-7 кл. с доплатой 70,00 руб. 2-я смена</t>
  </si>
  <si>
    <t>200/10</t>
  </si>
  <si>
    <t>№379-2015г.</t>
  </si>
  <si>
    <t>Кофейный напиток с молоком</t>
  </si>
  <si>
    <t>Яблоко свежее (порциями)</t>
  </si>
  <si>
    <t>Кондитерское изделие</t>
  </si>
  <si>
    <t>ПР</t>
  </si>
  <si>
    <t>80/10</t>
  </si>
  <si>
    <t>№260-2015г.</t>
  </si>
  <si>
    <t>№45-2015г.</t>
  </si>
  <si>
    <t>Бутерброд с сыром</t>
  </si>
  <si>
    <t>15/5/30</t>
  </si>
  <si>
    <t>Запеканка из творога с молоком сгущённым</t>
  </si>
  <si>
    <t>200/7</t>
  </si>
  <si>
    <t>№97-2015г.</t>
  </si>
  <si>
    <t>Пряник</t>
  </si>
  <si>
    <t>Запеканка из творога</t>
  </si>
  <si>
    <t>Печенье ванильное</t>
  </si>
  <si>
    <t>Гуляш из свинины</t>
  </si>
  <si>
    <t>40/40</t>
  </si>
  <si>
    <t>18/18</t>
  </si>
  <si>
    <t>Суп картофельный</t>
  </si>
  <si>
    <t>Суп картофельный с рыбными консервами</t>
  </si>
  <si>
    <t>250/10</t>
  </si>
  <si>
    <t>№306-2015г.</t>
  </si>
  <si>
    <t>Бобовые отварные (горошек зелёный консервированный)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</si>
</sst>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2" fontId="5" fillId="0" borderId="12" xfId="0" applyNumberFormat="1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8" fillId="0" borderId="3" xfId="0" applyNumberFormat="1" applyFont="1" applyBorder="1" applyAlignment="1">
      <alignment horizontal="right" vertical="center" wrapText="1"/>
    </xf>
    <xf numFmtId="2" fontId="8" fillId="0" borderId="10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vertical="center" wrapText="1"/>
    </xf>
    <xf numFmtId="2" fontId="5" fillId="0" borderId="10" xfId="0" applyNumberFormat="1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2" fontId="7" fillId="0" borderId="27" xfId="0" applyNumberFormat="1" applyFont="1" applyBorder="1" applyAlignment="1">
      <alignment vertical="center" wrapText="1"/>
    </xf>
    <xf numFmtId="2" fontId="7" fillId="0" borderId="32" xfId="0" applyNumberFormat="1" applyFont="1" applyBorder="1" applyAlignment="1">
      <alignment vertical="center" wrapText="1"/>
    </xf>
    <xf numFmtId="2" fontId="7" fillId="0" borderId="33" xfId="0" applyNumberFormat="1" applyFont="1" applyBorder="1" applyAlignment="1">
      <alignment vertical="center" wrapText="1"/>
    </xf>
    <xf numFmtId="2" fontId="7" fillId="0" borderId="31" xfId="0" applyNumberFormat="1" applyFont="1" applyBorder="1" applyAlignment="1">
      <alignment vertical="center" wrapText="1"/>
    </xf>
    <xf numFmtId="0" fontId="0" fillId="0" borderId="0" xfId="0" applyFont="1"/>
    <xf numFmtId="0" fontId="7" fillId="0" borderId="22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2" fontId="7" fillId="0" borderId="23" xfId="0" applyNumberFormat="1" applyFont="1" applyBorder="1" applyAlignment="1">
      <alignment vertical="center" wrapText="1"/>
    </xf>
    <xf numFmtId="2" fontId="7" fillId="0" borderId="3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39" workbookViewId="0">
      <selection activeCell="A27" sqref="A1:XFD1048576"/>
    </sheetView>
  </sheetViews>
  <sheetFormatPr defaultRowHeight="15" x14ac:dyDescent="0.25"/>
  <cols>
    <col min="1" max="1" width="22.85546875" style="37" customWidth="1"/>
    <col min="2" max="2" width="24.7109375" style="37" customWidth="1"/>
    <col min="3" max="3" width="12.28515625" style="37" customWidth="1"/>
    <col min="4" max="4" width="53.140625" style="37" customWidth="1"/>
    <col min="5" max="5" width="10.140625" style="37" bestFit="1" customWidth="1"/>
    <col min="6" max="6" width="9.140625" style="37"/>
    <col min="7" max="7" width="18.140625" style="37" customWidth="1"/>
    <col min="8" max="8" width="11.42578125" style="37" bestFit="1" customWidth="1"/>
    <col min="9" max="9" width="9.140625" style="37"/>
    <col min="10" max="10" width="10.85546875" style="37" customWidth="1"/>
    <col min="11" max="16384" width="9.140625" style="37"/>
  </cols>
  <sheetData>
    <row r="1" spans="1:12" ht="15.75" thickBot="1" x14ac:dyDescent="0.3">
      <c r="A1" s="1" t="s">
        <v>0</v>
      </c>
      <c r="B1" s="45" t="s">
        <v>21</v>
      </c>
      <c r="C1" s="46"/>
      <c r="D1" s="1" t="s">
        <v>1</v>
      </c>
      <c r="E1" s="22"/>
      <c r="F1" s="1" t="s">
        <v>2</v>
      </c>
      <c r="G1" s="47">
        <v>44992</v>
      </c>
      <c r="H1" s="48"/>
      <c r="I1" s="48"/>
      <c r="J1" s="49"/>
      <c r="K1" s="1"/>
      <c r="L1" s="1"/>
    </row>
    <row r="2" spans="1:12" ht="15.75" thickBot="1" x14ac:dyDescent="0.3">
      <c r="A2" s="24" t="s">
        <v>3</v>
      </c>
      <c r="B2" s="2" t="s">
        <v>4</v>
      </c>
      <c r="C2" s="25" t="s">
        <v>5</v>
      </c>
      <c r="D2" s="27" t="s">
        <v>6</v>
      </c>
      <c r="E2" s="27" t="s">
        <v>7</v>
      </c>
      <c r="F2" s="27" t="s">
        <v>8</v>
      </c>
      <c r="G2" s="2" t="s">
        <v>9</v>
      </c>
      <c r="H2" s="2" t="s">
        <v>10</v>
      </c>
      <c r="I2" s="2" t="s">
        <v>11</v>
      </c>
      <c r="J2" s="26" t="s">
        <v>12</v>
      </c>
    </row>
    <row r="3" spans="1:12" ht="15" customHeight="1" x14ac:dyDescent="0.25">
      <c r="A3" s="50" t="s">
        <v>40</v>
      </c>
      <c r="B3" s="17" t="s">
        <v>13</v>
      </c>
      <c r="C3" s="18" t="s">
        <v>42</v>
      </c>
      <c r="D3" s="18" t="s">
        <v>43</v>
      </c>
      <c r="E3" s="11" t="s">
        <v>46</v>
      </c>
      <c r="F3" s="12">
        <v>26.82</v>
      </c>
      <c r="G3" s="12">
        <f>289-66*0</f>
        <v>289</v>
      </c>
      <c r="H3" s="12">
        <f>8.2-0.08*0</f>
        <v>8.1999999999999993</v>
      </c>
      <c r="I3" s="12">
        <f>10.6-7.25*0</f>
        <v>10.6</v>
      </c>
      <c r="J3" s="13">
        <f>40.1-0.13*0</f>
        <v>40.1</v>
      </c>
    </row>
    <row r="4" spans="1:12" x14ac:dyDescent="0.25">
      <c r="A4" s="50"/>
      <c r="B4" s="5" t="s">
        <v>13</v>
      </c>
      <c r="C4" s="28" t="s">
        <v>41</v>
      </c>
      <c r="D4" s="29" t="s">
        <v>57</v>
      </c>
      <c r="E4" s="14" t="s">
        <v>52</v>
      </c>
      <c r="F4" s="4">
        <v>48.33</v>
      </c>
      <c r="G4" s="30">
        <f>282*0.8+260*0.1</f>
        <v>251.60000000000002</v>
      </c>
      <c r="H4" s="30">
        <f>15.12*0.8+7.5*0.1</f>
        <v>12.846</v>
      </c>
      <c r="I4" s="30">
        <f>14.1*0.8+0.2*0.1</f>
        <v>11.3</v>
      </c>
      <c r="J4" s="31">
        <f>22.5*0.8+56.8*0.1</f>
        <v>23.68</v>
      </c>
    </row>
    <row r="5" spans="1:12" x14ac:dyDescent="0.25">
      <c r="A5" s="50"/>
      <c r="B5" s="5" t="s">
        <v>18</v>
      </c>
      <c r="C5" s="3" t="s">
        <v>47</v>
      </c>
      <c r="D5" s="3" t="s">
        <v>48</v>
      </c>
      <c r="E5" s="14">
        <v>200</v>
      </c>
      <c r="F5" s="4">
        <v>9.14</v>
      </c>
      <c r="G5" s="4">
        <v>100.6</v>
      </c>
      <c r="H5" s="4">
        <v>3.17</v>
      </c>
      <c r="I5" s="4">
        <v>2.68</v>
      </c>
      <c r="J5" s="6">
        <v>15.95</v>
      </c>
    </row>
    <row r="6" spans="1:12" ht="15" customHeight="1" x14ac:dyDescent="0.25">
      <c r="A6" s="50"/>
      <c r="B6" s="5" t="s">
        <v>14</v>
      </c>
      <c r="C6" s="3" t="s">
        <v>30</v>
      </c>
      <c r="D6" s="3" t="s">
        <v>31</v>
      </c>
      <c r="E6" s="14">
        <v>11</v>
      </c>
      <c r="F6" s="4">
        <v>0.42</v>
      </c>
      <c r="G6" s="4">
        <f>229.7*0.11</f>
        <v>25.266999999999999</v>
      </c>
      <c r="H6" s="35">
        <f>6.7*0.11</f>
        <v>0.73699999999999999</v>
      </c>
      <c r="I6" s="35">
        <f>1.1*0.11</f>
        <v>0.12100000000000001</v>
      </c>
      <c r="J6" s="36">
        <f>48.3*0.11</f>
        <v>5.3129999999999997</v>
      </c>
    </row>
    <row r="7" spans="1:12" ht="15.75" thickBot="1" x14ac:dyDescent="0.3">
      <c r="A7" s="50"/>
      <c r="B7" s="7" t="s">
        <v>38</v>
      </c>
      <c r="C7" s="8" t="s">
        <v>39</v>
      </c>
      <c r="D7" s="8" t="s">
        <v>49</v>
      </c>
      <c r="E7" s="32">
        <v>110</v>
      </c>
      <c r="F7" s="9">
        <v>12.44</v>
      </c>
      <c r="G7" s="33">
        <f>47*1.1</f>
        <v>51.7</v>
      </c>
      <c r="H7" s="16">
        <f>0.4*1.1</f>
        <v>0.44000000000000006</v>
      </c>
      <c r="I7" s="16">
        <f>0.4*1.1</f>
        <v>0.44000000000000006</v>
      </c>
      <c r="J7" s="23">
        <f>9.8*1.1</f>
        <v>10.780000000000001</v>
      </c>
    </row>
    <row r="8" spans="1:12" ht="15.75" thickBot="1" x14ac:dyDescent="0.3">
      <c r="A8" s="55" t="s">
        <v>15</v>
      </c>
      <c r="B8" s="56"/>
      <c r="C8" s="56"/>
      <c r="D8" s="56"/>
      <c r="E8" s="57"/>
      <c r="F8" s="58">
        <f>SUM(F3:F7)</f>
        <v>97.15</v>
      </c>
      <c r="G8" s="58">
        <f>SUM(G3:G7)</f>
        <v>718.16700000000014</v>
      </c>
      <c r="H8" s="59">
        <f>SUM(H3:H7)</f>
        <v>25.393000000000001</v>
      </c>
      <c r="I8" s="60">
        <f>SUM(I3:I7)</f>
        <v>25.140999999999998</v>
      </c>
      <c r="J8" s="61">
        <f>SUM(J3:J7)</f>
        <v>95.823000000000008</v>
      </c>
    </row>
    <row r="9" spans="1:12" x14ac:dyDescent="0.25">
      <c r="A9" s="39" t="s">
        <v>26</v>
      </c>
      <c r="B9" s="5" t="s">
        <v>16</v>
      </c>
      <c r="C9" s="3" t="s">
        <v>59</v>
      </c>
      <c r="D9" s="3" t="s">
        <v>66</v>
      </c>
      <c r="E9" s="14">
        <v>250</v>
      </c>
      <c r="F9" s="4">
        <v>11.33</v>
      </c>
      <c r="G9" s="4">
        <f>456*0.25+200*0</f>
        <v>114</v>
      </c>
      <c r="H9" s="4">
        <f>9.37*0.25+17.7*0</f>
        <v>2.3424999999999998</v>
      </c>
      <c r="I9" s="4">
        <f>11.31*0.25+14.4*0</f>
        <v>2.8275000000000001</v>
      </c>
      <c r="J9" s="6">
        <f>67.48*0.25+0</f>
        <v>16.87</v>
      </c>
      <c r="K9" s="62"/>
    </row>
    <row r="10" spans="1:12" x14ac:dyDescent="0.25">
      <c r="A10" s="39"/>
      <c r="B10" s="5" t="s">
        <v>13</v>
      </c>
      <c r="C10" s="3" t="s">
        <v>53</v>
      </c>
      <c r="D10" s="3" t="s">
        <v>63</v>
      </c>
      <c r="E10" s="14" t="s">
        <v>65</v>
      </c>
      <c r="F10" s="4">
        <v>16.23</v>
      </c>
      <c r="G10" s="20">
        <f>309*0.36</f>
        <v>111.24</v>
      </c>
      <c r="H10" s="20">
        <f>10.64*0.36</f>
        <v>3.8304</v>
      </c>
      <c r="I10" s="20">
        <f>28.19*0.36</f>
        <v>10.148400000000001</v>
      </c>
      <c r="J10" s="21">
        <f>2.89*0.36</f>
        <v>1.0404</v>
      </c>
      <c r="K10" s="62"/>
    </row>
    <row r="11" spans="1:12" x14ac:dyDescent="0.25">
      <c r="A11" s="39"/>
      <c r="B11" s="5" t="s">
        <v>17</v>
      </c>
      <c r="C11" s="3" t="s">
        <v>36</v>
      </c>
      <c r="D11" s="3" t="s">
        <v>37</v>
      </c>
      <c r="E11" s="14">
        <v>110</v>
      </c>
      <c r="F11" s="4">
        <v>10.08</v>
      </c>
      <c r="G11" s="30">
        <f>162.5*1.1</f>
        <v>178.75000000000003</v>
      </c>
      <c r="H11" s="30">
        <f>5.73*1.1</f>
        <v>6.3030000000000008</v>
      </c>
      <c r="I11" s="30">
        <f>4.06*1.1</f>
        <v>4.4660000000000002</v>
      </c>
      <c r="J11" s="31">
        <f>25.76*1.1</f>
        <v>28.336000000000006</v>
      </c>
      <c r="K11" s="62"/>
    </row>
    <row r="12" spans="1:12" x14ac:dyDescent="0.25">
      <c r="A12" s="39"/>
      <c r="B12" s="5" t="s">
        <v>18</v>
      </c>
      <c r="C12" s="3" t="s">
        <v>19</v>
      </c>
      <c r="D12" s="3" t="s">
        <v>20</v>
      </c>
      <c r="E12" s="14" t="s">
        <v>32</v>
      </c>
      <c r="F12" s="4">
        <v>3.04</v>
      </c>
      <c r="G12" s="4">
        <v>60</v>
      </c>
      <c r="H12" s="4">
        <v>7.0000000000000007E-2</v>
      </c>
      <c r="I12" s="4">
        <v>0.02</v>
      </c>
      <c r="J12" s="6">
        <v>15</v>
      </c>
    </row>
    <row r="13" spans="1:12" ht="15.75" thickBot="1" x14ac:dyDescent="0.3">
      <c r="A13" s="39"/>
      <c r="B13" s="7" t="s">
        <v>14</v>
      </c>
      <c r="C13" s="8" t="s">
        <v>30</v>
      </c>
      <c r="D13" s="8" t="s">
        <v>31</v>
      </c>
      <c r="E13" s="15">
        <v>41.5</v>
      </c>
      <c r="F13" s="16">
        <v>1.61</v>
      </c>
      <c r="G13" s="16">
        <f>229.7*0.415</f>
        <v>95.325499999999991</v>
      </c>
      <c r="H13" s="9">
        <f>6.7*0.415</f>
        <v>2.7805</v>
      </c>
      <c r="I13" s="9">
        <f>1.1*0.415</f>
        <v>0.45650000000000002</v>
      </c>
      <c r="J13" s="10">
        <f>48.3*0.415</f>
        <v>20.044499999999999</v>
      </c>
    </row>
    <row r="14" spans="1:12" ht="15.75" thickBot="1" x14ac:dyDescent="0.3">
      <c r="A14" s="55" t="s">
        <v>15</v>
      </c>
      <c r="B14" s="63"/>
      <c r="C14" s="63"/>
      <c r="D14" s="63"/>
      <c r="E14" s="64"/>
      <c r="F14" s="65">
        <f>SUM(F9:F13)</f>
        <v>42.29</v>
      </c>
      <c r="G14" s="65">
        <f t="shared" ref="G14:J14" si="0">SUM(G9:G13)</f>
        <v>559.31550000000004</v>
      </c>
      <c r="H14" s="65">
        <f t="shared" si="0"/>
        <v>15.326400000000001</v>
      </c>
      <c r="I14" s="65">
        <f t="shared" si="0"/>
        <v>17.918399999999998</v>
      </c>
      <c r="J14" s="66">
        <f t="shared" si="0"/>
        <v>81.290900000000008</v>
      </c>
    </row>
    <row r="15" spans="1:12" ht="15.75" customHeight="1" x14ac:dyDescent="0.25">
      <c r="A15" s="52" t="s">
        <v>27</v>
      </c>
      <c r="B15" s="67" t="s">
        <v>29</v>
      </c>
      <c r="C15" s="51" t="s">
        <v>69</v>
      </c>
      <c r="D15" s="51" t="s">
        <v>70</v>
      </c>
      <c r="E15" s="11">
        <v>10</v>
      </c>
      <c r="F15" s="12">
        <v>7.45</v>
      </c>
      <c r="G15" s="12">
        <f>592*0.01</f>
        <v>5.92</v>
      </c>
      <c r="H15" s="12">
        <f>28.85*0.01</f>
        <v>0.28850000000000003</v>
      </c>
      <c r="I15" s="12">
        <f>27.24*0.01</f>
        <v>0.27239999999999998</v>
      </c>
      <c r="J15" s="13">
        <f>57.86*0.01</f>
        <v>0.5786</v>
      </c>
      <c r="K15" s="62"/>
    </row>
    <row r="16" spans="1:12" ht="15" customHeight="1" x14ac:dyDescent="0.25">
      <c r="A16" s="53"/>
      <c r="B16" s="5" t="s">
        <v>16</v>
      </c>
      <c r="C16" s="3" t="s">
        <v>59</v>
      </c>
      <c r="D16" s="3" t="s">
        <v>67</v>
      </c>
      <c r="E16" s="14" t="s">
        <v>68</v>
      </c>
      <c r="F16" s="4">
        <v>30.2</v>
      </c>
      <c r="G16" s="4">
        <f>456*0.25+200*0.1</f>
        <v>134</v>
      </c>
      <c r="H16" s="4">
        <f>9.37*0.25+17.7*0.1</f>
        <v>4.1124999999999998</v>
      </c>
      <c r="I16" s="4">
        <f>11.31*0.25+14.4*0.1</f>
        <v>4.2675000000000001</v>
      </c>
      <c r="J16" s="6">
        <f>67.48*0.25</f>
        <v>16.87</v>
      </c>
    </row>
    <row r="17" spans="1:11" x14ac:dyDescent="0.25">
      <c r="A17" s="53"/>
      <c r="B17" s="5" t="s">
        <v>13</v>
      </c>
      <c r="C17" s="3" t="s">
        <v>53</v>
      </c>
      <c r="D17" s="3" t="s">
        <v>63</v>
      </c>
      <c r="E17" s="14" t="s">
        <v>64</v>
      </c>
      <c r="F17" s="4">
        <v>36.06</v>
      </c>
      <c r="G17" s="20">
        <f>309*0.8</f>
        <v>247.20000000000002</v>
      </c>
      <c r="H17" s="20">
        <f>10.64*0.8</f>
        <v>8.5120000000000005</v>
      </c>
      <c r="I17" s="20">
        <f>28.19*0.8</f>
        <v>22.552000000000003</v>
      </c>
      <c r="J17" s="21">
        <f>2.89*0.8</f>
        <v>2.3120000000000003</v>
      </c>
    </row>
    <row r="18" spans="1:11" x14ac:dyDescent="0.25">
      <c r="A18" s="53"/>
      <c r="B18" s="5" t="s">
        <v>17</v>
      </c>
      <c r="C18" s="3" t="s">
        <v>36</v>
      </c>
      <c r="D18" s="3" t="s">
        <v>37</v>
      </c>
      <c r="E18" s="14">
        <v>120</v>
      </c>
      <c r="F18" s="4">
        <v>10.99</v>
      </c>
      <c r="G18" s="30">
        <f>162.5*1.2</f>
        <v>195</v>
      </c>
      <c r="H18" s="30">
        <f>5.73*1.2</f>
        <v>6.8760000000000003</v>
      </c>
      <c r="I18" s="30">
        <f>4.06*1.2</f>
        <v>4.871999999999999</v>
      </c>
      <c r="J18" s="31">
        <f>25.76*1.2</f>
        <v>30.911999999999999</v>
      </c>
      <c r="K18" s="62"/>
    </row>
    <row r="19" spans="1:11" x14ac:dyDescent="0.25">
      <c r="A19" s="53"/>
      <c r="B19" s="5" t="s">
        <v>18</v>
      </c>
      <c r="C19" s="3" t="s">
        <v>19</v>
      </c>
      <c r="D19" s="3" t="s">
        <v>20</v>
      </c>
      <c r="E19" s="14" t="s">
        <v>32</v>
      </c>
      <c r="F19" s="4">
        <v>3.04</v>
      </c>
      <c r="G19" s="4">
        <v>60</v>
      </c>
      <c r="H19" s="4">
        <v>7.0000000000000007E-2</v>
      </c>
      <c r="I19" s="4">
        <v>0.02</v>
      </c>
      <c r="J19" s="6">
        <v>15</v>
      </c>
      <c r="K19" s="62"/>
    </row>
    <row r="20" spans="1:11" x14ac:dyDescent="0.25">
      <c r="A20" s="53"/>
      <c r="B20" s="5" t="s">
        <v>50</v>
      </c>
      <c r="C20" s="3" t="s">
        <v>51</v>
      </c>
      <c r="D20" s="3" t="s">
        <v>60</v>
      </c>
      <c r="E20" s="14">
        <v>35</v>
      </c>
      <c r="F20" s="4">
        <v>8.2899999999999991</v>
      </c>
      <c r="G20" s="4">
        <v>122.5</v>
      </c>
      <c r="H20" s="4">
        <v>1.75</v>
      </c>
      <c r="I20" s="4">
        <v>2.1</v>
      </c>
      <c r="J20" s="6">
        <v>24.15</v>
      </c>
    </row>
    <row r="21" spans="1:11" ht="15.75" thickBot="1" x14ac:dyDescent="0.3">
      <c r="A21" s="54"/>
      <c r="B21" s="7" t="s">
        <v>14</v>
      </c>
      <c r="C21" s="8" t="s">
        <v>30</v>
      </c>
      <c r="D21" s="8" t="s">
        <v>31</v>
      </c>
      <c r="E21" s="15">
        <v>28.5</v>
      </c>
      <c r="F21" s="16">
        <v>1.1200000000000001</v>
      </c>
      <c r="G21" s="16">
        <f>229.7*0.285</f>
        <v>65.464499999999987</v>
      </c>
      <c r="H21" s="9">
        <f>6.7*0.285</f>
        <v>1.9095</v>
      </c>
      <c r="I21" s="9">
        <f>1.1*0.285</f>
        <v>0.3135</v>
      </c>
      <c r="J21" s="10">
        <f>48.3*0.285</f>
        <v>13.765499999999998</v>
      </c>
    </row>
    <row r="22" spans="1:11" ht="15.75" thickBot="1" x14ac:dyDescent="0.3">
      <c r="A22" s="55" t="s">
        <v>15</v>
      </c>
      <c r="B22" s="68"/>
      <c r="C22" s="68"/>
      <c r="D22" s="68"/>
      <c r="E22" s="69"/>
      <c r="F22" s="70">
        <f>SUM(F15:F21)</f>
        <v>97.15</v>
      </c>
      <c r="G22" s="70">
        <f>SUM(G15:G21)</f>
        <v>830.08449999999993</v>
      </c>
      <c r="H22" s="70">
        <f>SUM(H15:H21)</f>
        <v>23.518500000000003</v>
      </c>
      <c r="I22" s="70">
        <f>SUM(I15:I21)</f>
        <v>34.397399999999998</v>
      </c>
      <c r="J22" s="70">
        <f>SUM(J15:J21)</f>
        <v>103.5881</v>
      </c>
      <c r="K22" s="62"/>
    </row>
    <row r="23" spans="1:11" x14ac:dyDescent="0.25">
      <c r="A23" s="39" t="s">
        <v>28</v>
      </c>
      <c r="B23" s="17" t="s">
        <v>29</v>
      </c>
      <c r="C23" s="18" t="s">
        <v>54</v>
      </c>
      <c r="D23" s="18" t="s">
        <v>55</v>
      </c>
      <c r="E23" s="34" t="s">
        <v>56</v>
      </c>
      <c r="F23" s="12">
        <v>25.71</v>
      </c>
      <c r="G23" s="12">
        <f>364*0.15+66*0.5+280*0.3</f>
        <v>171.6</v>
      </c>
      <c r="H23" s="12">
        <f>23.2*0.15+0.08*0.5+8*0.3</f>
        <v>5.92</v>
      </c>
      <c r="I23" s="12">
        <f>29.5*0.15+7.25*0.5+3*0.3</f>
        <v>8.9500000000000011</v>
      </c>
      <c r="J23" s="13">
        <f>0+0.13*0.5+54*0.3</f>
        <v>16.265000000000001</v>
      </c>
      <c r="K23" s="62"/>
    </row>
    <row r="24" spans="1:11" x14ac:dyDescent="0.25">
      <c r="A24" s="39"/>
      <c r="B24" s="5" t="s">
        <v>18</v>
      </c>
      <c r="C24" s="3" t="s">
        <v>47</v>
      </c>
      <c r="D24" s="3" t="s">
        <v>48</v>
      </c>
      <c r="E24" s="14">
        <v>200</v>
      </c>
      <c r="F24" s="4">
        <v>9.14</v>
      </c>
      <c r="G24" s="4">
        <v>100.6</v>
      </c>
      <c r="H24" s="4">
        <v>3.17</v>
      </c>
      <c r="I24" s="4">
        <v>2.68</v>
      </c>
      <c r="J24" s="6">
        <v>15.95</v>
      </c>
      <c r="K24" s="62"/>
    </row>
    <row r="25" spans="1:11" ht="15.75" thickBot="1" x14ac:dyDescent="0.3">
      <c r="A25" s="39"/>
      <c r="B25" s="7" t="s">
        <v>38</v>
      </c>
      <c r="C25" s="8" t="s">
        <v>39</v>
      </c>
      <c r="D25" s="8" t="s">
        <v>49</v>
      </c>
      <c r="E25" s="32">
        <v>65</v>
      </c>
      <c r="F25" s="9">
        <v>7.44</v>
      </c>
      <c r="G25" s="33">
        <f>47*0.65</f>
        <v>30.55</v>
      </c>
      <c r="H25" s="16">
        <f>0.4*0.65</f>
        <v>0.26</v>
      </c>
      <c r="I25" s="16">
        <f>0.4*0.65</f>
        <v>0.26</v>
      </c>
      <c r="J25" s="23">
        <f>9.8*0.65</f>
        <v>6.370000000000001</v>
      </c>
      <c r="K25" s="62"/>
    </row>
    <row r="26" spans="1:11" ht="15.75" thickBot="1" x14ac:dyDescent="0.3">
      <c r="A26" s="71" t="s">
        <v>15</v>
      </c>
      <c r="B26" s="68"/>
      <c r="C26" s="68"/>
      <c r="D26" s="68"/>
      <c r="E26" s="72"/>
      <c r="F26" s="70">
        <f>SUM(F23:F25)</f>
        <v>42.29</v>
      </c>
      <c r="G26" s="70">
        <f>SUM(G23:G25)</f>
        <v>302.75</v>
      </c>
      <c r="H26" s="70">
        <f>SUM(H23:H25)</f>
        <v>9.35</v>
      </c>
      <c r="I26" s="70">
        <f>SUM(I23:I25)</f>
        <v>11.89</v>
      </c>
      <c r="J26" s="70">
        <f>SUM(J23:J25)</f>
        <v>38.585000000000008</v>
      </c>
      <c r="K26" s="62"/>
    </row>
    <row r="27" spans="1:11" x14ac:dyDescent="0.25">
      <c r="A27" s="50" t="s">
        <v>44</v>
      </c>
      <c r="B27" s="17" t="s">
        <v>13</v>
      </c>
      <c r="C27" s="18" t="s">
        <v>42</v>
      </c>
      <c r="D27" s="18" t="s">
        <v>43</v>
      </c>
      <c r="E27" s="11" t="s">
        <v>46</v>
      </c>
      <c r="F27" s="12">
        <v>26.82</v>
      </c>
      <c r="G27" s="12">
        <f>289-66*0</f>
        <v>289</v>
      </c>
      <c r="H27" s="12">
        <f>8.2-0.08*0</f>
        <v>8.1999999999999993</v>
      </c>
      <c r="I27" s="12">
        <f>10.6-7.25*0</f>
        <v>10.6</v>
      </c>
      <c r="J27" s="13">
        <f>40.1-0.13*0</f>
        <v>40.1</v>
      </c>
    </row>
    <row r="28" spans="1:11" x14ac:dyDescent="0.25">
      <c r="A28" s="50"/>
      <c r="B28" s="5" t="s">
        <v>13</v>
      </c>
      <c r="C28" s="28" t="s">
        <v>41</v>
      </c>
      <c r="D28" s="29" t="s">
        <v>61</v>
      </c>
      <c r="E28" s="14">
        <v>75</v>
      </c>
      <c r="F28" s="4">
        <v>39.75</v>
      </c>
      <c r="G28" s="30">
        <f>282*0.75+260*0</f>
        <v>211.5</v>
      </c>
      <c r="H28" s="30">
        <f>15.12*0.75+7.5*0</f>
        <v>11.34</v>
      </c>
      <c r="I28" s="30">
        <f>14.1*0.75+0.2*0</f>
        <v>10.574999999999999</v>
      </c>
      <c r="J28" s="31">
        <f>22.5*0.75+56.8*0</f>
        <v>16.875</v>
      </c>
    </row>
    <row r="29" spans="1:11" ht="15.75" customHeight="1" x14ac:dyDescent="0.25">
      <c r="A29" s="50"/>
      <c r="B29" s="5" t="s">
        <v>18</v>
      </c>
      <c r="C29" s="3" t="s">
        <v>47</v>
      </c>
      <c r="D29" s="3" t="s">
        <v>48</v>
      </c>
      <c r="E29" s="14">
        <v>200</v>
      </c>
      <c r="F29" s="4">
        <v>9.14</v>
      </c>
      <c r="G29" s="4">
        <v>100.6</v>
      </c>
      <c r="H29" s="4">
        <v>3.17</v>
      </c>
      <c r="I29" s="4">
        <v>2.68</v>
      </c>
      <c r="J29" s="6">
        <v>15.95</v>
      </c>
    </row>
    <row r="30" spans="1:11" ht="15.75" thickBot="1" x14ac:dyDescent="0.3">
      <c r="A30" s="50"/>
      <c r="B30" s="7" t="s">
        <v>14</v>
      </c>
      <c r="C30" s="8" t="s">
        <v>30</v>
      </c>
      <c r="D30" s="8" t="s">
        <v>31</v>
      </c>
      <c r="E30" s="15">
        <v>33.5</v>
      </c>
      <c r="F30" s="16">
        <v>1.29</v>
      </c>
      <c r="G30" s="16">
        <f>229.7*0.335</f>
        <v>76.9495</v>
      </c>
      <c r="H30" s="9">
        <f>6.7*0.335</f>
        <v>2.2445000000000004</v>
      </c>
      <c r="I30" s="9">
        <f>1.1*0.335</f>
        <v>0.36850000000000005</v>
      </c>
      <c r="J30" s="10">
        <f>48.3*0.335</f>
        <v>16.180499999999999</v>
      </c>
    </row>
    <row r="31" spans="1:11" ht="15" customHeight="1" thickBot="1" x14ac:dyDescent="0.3">
      <c r="A31" s="73" t="s">
        <v>15</v>
      </c>
      <c r="B31" s="68"/>
      <c r="C31" s="68"/>
      <c r="D31" s="68"/>
      <c r="E31" s="72"/>
      <c r="F31" s="70">
        <f>SUM(F27:F30)</f>
        <v>77</v>
      </c>
      <c r="G31" s="70">
        <f>SUM(G27:G30)</f>
        <v>678.04950000000008</v>
      </c>
      <c r="H31" s="70">
        <f>SUM(H27:H30)</f>
        <v>24.954500000000003</v>
      </c>
      <c r="I31" s="70">
        <f>SUM(I27:I30)</f>
        <v>24.223499999999998</v>
      </c>
      <c r="J31" s="70">
        <f>SUM(J27:J30)</f>
        <v>89.105499999999992</v>
      </c>
    </row>
    <row r="32" spans="1:11" x14ac:dyDescent="0.25">
      <c r="A32" s="41" t="s">
        <v>33</v>
      </c>
      <c r="B32" s="17" t="s">
        <v>13</v>
      </c>
      <c r="C32" s="18" t="s">
        <v>42</v>
      </c>
      <c r="D32" s="18" t="s">
        <v>43</v>
      </c>
      <c r="E32" s="11" t="s">
        <v>58</v>
      </c>
      <c r="F32" s="12">
        <v>23.05</v>
      </c>
      <c r="G32" s="12">
        <f>289-66*0.3</f>
        <v>269.2</v>
      </c>
      <c r="H32" s="12">
        <f>8.2-0.08*0.3</f>
        <v>8.1760000000000002</v>
      </c>
      <c r="I32" s="12">
        <f>10.6-7.25*0.3</f>
        <v>8.4250000000000007</v>
      </c>
      <c r="J32" s="13">
        <f>40.1-0.13*0.3</f>
        <v>40.061</v>
      </c>
    </row>
    <row r="33" spans="1:10" x14ac:dyDescent="0.25">
      <c r="A33" s="42"/>
      <c r="B33" s="5" t="s">
        <v>18</v>
      </c>
      <c r="C33" s="3" t="s">
        <v>19</v>
      </c>
      <c r="D33" s="3" t="s">
        <v>20</v>
      </c>
      <c r="E33" s="14" t="s">
        <v>32</v>
      </c>
      <c r="F33" s="4">
        <v>3.04</v>
      </c>
      <c r="G33" s="4">
        <v>60</v>
      </c>
      <c r="H33" s="4">
        <v>7.0000000000000007E-2</v>
      </c>
      <c r="I33" s="4">
        <v>0.02</v>
      </c>
      <c r="J33" s="6">
        <v>15</v>
      </c>
    </row>
    <row r="34" spans="1:10" ht="15.75" thickBot="1" x14ac:dyDescent="0.3">
      <c r="A34" s="43"/>
      <c r="B34" s="7" t="s">
        <v>14</v>
      </c>
      <c r="C34" s="8" t="s">
        <v>30</v>
      </c>
      <c r="D34" s="8" t="s">
        <v>31</v>
      </c>
      <c r="E34" s="15">
        <v>23</v>
      </c>
      <c r="F34" s="16">
        <v>0.91</v>
      </c>
      <c r="G34" s="16">
        <f>229.7*0.23</f>
        <v>52.831000000000003</v>
      </c>
      <c r="H34" s="9">
        <f>6.7*0.23</f>
        <v>1.5410000000000001</v>
      </c>
      <c r="I34" s="9">
        <f>1.1*0.23</f>
        <v>0.25300000000000006</v>
      </c>
      <c r="J34" s="10">
        <f>48.3*0.23</f>
        <v>11.109</v>
      </c>
    </row>
    <row r="35" spans="1:10" ht="15.75" thickBot="1" x14ac:dyDescent="0.3">
      <c r="A35" s="74" t="s">
        <v>15</v>
      </c>
      <c r="B35" s="68"/>
      <c r="C35" s="68"/>
      <c r="D35" s="68"/>
      <c r="E35" s="72"/>
      <c r="F35" s="70">
        <f>SUM(F32:F34)</f>
        <v>27</v>
      </c>
      <c r="G35" s="70">
        <f>SUM(G32:G34)</f>
        <v>382.03100000000001</v>
      </c>
      <c r="H35" s="70">
        <f>SUM(H32:H34)</f>
        <v>9.7870000000000008</v>
      </c>
      <c r="I35" s="70">
        <f>SUM(I32:I34)</f>
        <v>8.6980000000000004</v>
      </c>
      <c r="J35" s="70">
        <f>SUM(J32:J34)</f>
        <v>66.17</v>
      </c>
    </row>
    <row r="36" spans="1:10" ht="31.5" customHeight="1" x14ac:dyDescent="0.25">
      <c r="A36" s="41" t="s">
        <v>34</v>
      </c>
      <c r="B36" s="17" t="s">
        <v>18</v>
      </c>
      <c r="C36" s="18" t="s">
        <v>19</v>
      </c>
      <c r="D36" s="18" t="s">
        <v>20</v>
      </c>
      <c r="E36" s="11" t="s">
        <v>32</v>
      </c>
      <c r="F36" s="12">
        <v>3.04</v>
      </c>
      <c r="G36" s="12">
        <v>60</v>
      </c>
      <c r="H36" s="12">
        <v>7.0000000000000007E-2</v>
      </c>
      <c r="I36" s="12">
        <v>0.02</v>
      </c>
      <c r="J36" s="13">
        <v>15</v>
      </c>
    </row>
    <row r="37" spans="1:10" ht="30.75" customHeight="1" thickBot="1" x14ac:dyDescent="0.3">
      <c r="A37" s="43"/>
      <c r="B37" s="7" t="s">
        <v>50</v>
      </c>
      <c r="C37" s="8" t="s">
        <v>51</v>
      </c>
      <c r="D37" s="8" t="s">
        <v>62</v>
      </c>
      <c r="E37" s="15">
        <v>18</v>
      </c>
      <c r="F37" s="16">
        <v>3.96</v>
      </c>
      <c r="G37" s="16">
        <f>420*0.18</f>
        <v>75.599999999999994</v>
      </c>
      <c r="H37" s="16">
        <f>6.9*0.18</f>
        <v>1.242</v>
      </c>
      <c r="I37" s="16">
        <f>14.7*0.18</f>
        <v>2.6459999999999999</v>
      </c>
      <c r="J37" s="23">
        <f>65*0.18</f>
        <v>11.7</v>
      </c>
    </row>
    <row r="38" spans="1:10" ht="15.75" thickBot="1" x14ac:dyDescent="0.3">
      <c r="A38" s="75" t="s">
        <v>15</v>
      </c>
      <c r="B38" s="68"/>
      <c r="C38" s="68"/>
      <c r="D38" s="68"/>
      <c r="E38" s="72"/>
      <c r="F38" s="70">
        <f>SUM(F36:F37)</f>
        <v>7</v>
      </c>
      <c r="G38" s="70">
        <f>SUM(G36:G37)</f>
        <v>135.6</v>
      </c>
      <c r="H38" s="70">
        <f t="shared" ref="H38:J38" si="1">SUM(H36:H37)</f>
        <v>1.3120000000000001</v>
      </c>
      <c r="I38" s="70">
        <f t="shared" si="1"/>
        <v>2.6659999999999999</v>
      </c>
      <c r="J38" s="70">
        <f t="shared" si="1"/>
        <v>26.7</v>
      </c>
    </row>
    <row r="39" spans="1:10" x14ac:dyDescent="0.25">
      <c r="A39" s="44" t="s">
        <v>35</v>
      </c>
      <c r="B39" s="17" t="s">
        <v>16</v>
      </c>
      <c r="C39" s="18" t="s">
        <v>59</v>
      </c>
      <c r="D39" s="18" t="s">
        <v>66</v>
      </c>
      <c r="E39" s="11">
        <v>250</v>
      </c>
      <c r="F39" s="12">
        <v>11.33</v>
      </c>
      <c r="G39" s="12">
        <f>456*0.25+200*0</f>
        <v>114</v>
      </c>
      <c r="H39" s="12">
        <f>9.37*0.25+17.7*0</f>
        <v>2.3424999999999998</v>
      </c>
      <c r="I39" s="12">
        <f>11.31*0.25+14.4*0</f>
        <v>2.8275000000000001</v>
      </c>
      <c r="J39" s="13">
        <f>67.48*0.25+0</f>
        <v>16.87</v>
      </c>
    </row>
    <row r="40" spans="1:10" x14ac:dyDescent="0.25">
      <c r="A40" s="39"/>
      <c r="B40" s="5" t="s">
        <v>13</v>
      </c>
      <c r="C40" s="3" t="s">
        <v>53</v>
      </c>
      <c r="D40" s="3" t="s">
        <v>63</v>
      </c>
      <c r="E40" s="14" t="s">
        <v>65</v>
      </c>
      <c r="F40" s="4">
        <v>16.23</v>
      </c>
      <c r="G40" s="20">
        <f>309*0.36</f>
        <v>111.24</v>
      </c>
      <c r="H40" s="20">
        <f>10.64*0.36</f>
        <v>3.8304</v>
      </c>
      <c r="I40" s="20">
        <f>28.19*0.36</f>
        <v>10.148400000000001</v>
      </c>
      <c r="J40" s="21">
        <f>2.89*0.36</f>
        <v>1.0404</v>
      </c>
    </row>
    <row r="41" spans="1:10" x14ac:dyDescent="0.25">
      <c r="A41" s="39"/>
      <c r="B41" s="5" t="s">
        <v>17</v>
      </c>
      <c r="C41" s="3" t="s">
        <v>36</v>
      </c>
      <c r="D41" s="3" t="s">
        <v>37</v>
      </c>
      <c r="E41" s="14">
        <v>140</v>
      </c>
      <c r="F41" s="4">
        <v>12.83</v>
      </c>
      <c r="G41" s="30">
        <f>162.5*1.4</f>
        <v>227.49999999999997</v>
      </c>
      <c r="H41" s="30">
        <f>5.73*1.4</f>
        <v>8.0220000000000002</v>
      </c>
      <c r="I41" s="30">
        <f>4.06*1.4</f>
        <v>5.6839999999999993</v>
      </c>
      <c r="J41" s="31">
        <f>25.76*1.4</f>
        <v>36.064</v>
      </c>
    </row>
    <row r="42" spans="1:10" x14ac:dyDescent="0.25">
      <c r="A42" s="39"/>
      <c r="B42" s="5" t="s">
        <v>18</v>
      </c>
      <c r="C42" s="3" t="s">
        <v>19</v>
      </c>
      <c r="D42" s="3" t="s">
        <v>20</v>
      </c>
      <c r="E42" s="14" t="s">
        <v>32</v>
      </c>
      <c r="F42" s="4">
        <v>3.04</v>
      </c>
      <c r="G42" s="4">
        <v>60</v>
      </c>
      <c r="H42" s="4">
        <v>7.0000000000000007E-2</v>
      </c>
      <c r="I42" s="4">
        <v>0.02</v>
      </c>
      <c r="J42" s="6">
        <v>15</v>
      </c>
    </row>
    <row r="43" spans="1:10" ht="15.75" thickBot="1" x14ac:dyDescent="0.3">
      <c r="A43" s="39"/>
      <c r="B43" s="7" t="s">
        <v>14</v>
      </c>
      <c r="C43" s="8" t="s">
        <v>30</v>
      </c>
      <c r="D43" s="8" t="s">
        <v>31</v>
      </c>
      <c r="E43" s="15">
        <v>40.5</v>
      </c>
      <c r="F43" s="16">
        <v>1.57</v>
      </c>
      <c r="G43" s="16">
        <f>229.7*0.405</f>
        <v>93.028500000000008</v>
      </c>
      <c r="H43" s="9">
        <f>6.7*0.405</f>
        <v>2.7135000000000002</v>
      </c>
      <c r="I43" s="9">
        <f>1.1*0.405</f>
        <v>0.44550000000000006</v>
      </c>
      <c r="J43" s="10">
        <f>48.3*0.405</f>
        <v>19.561499999999999</v>
      </c>
    </row>
    <row r="44" spans="1:10" ht="15.75" thickBot="1" x14ac:dyDescent="0.3">
      <c r="A44" s="55" t="s">
        <v>15</v>
      </c>
      <c r="B44" s="63"/>
      <c r="C44" s="63"/>
      <c r="D44" s="63"/>
      <c r="E44" s="64"/>
      <c r="F44" s="65">
        <f>SUM(F39:F43)</f>
        <v>45</v>
      </c>
      <c r="G44" s="65">
        <f>SUM(G39:G43)</f>
        <v>605.76850000000002</v>
      </c>
      <c r="H44" s="65">
        <f>SUM(H39:H43)</f>
        <v>16.978400000000001</v>
      </c>
      <c r="I44" s="65">
        <f>SUM(I39:I43)</f>
        <v>19.125399999999999</v>
      </c>
      <c r="J44" s="65">
        <f>SUM(J39:J43)</f>
        <v>88.535899999999998</v>
      </c>
    </row>
    <row r="45" spans="1:10" ht="16.5" customHeight="1" x14ac:dyDescent="0.25">
      <c r="A45" s="39" t="s">
        <v>45</v>
      </c>
      <c r="B45" s="67" t="s">
        <v>29</v>
      </c>
      <c r="C45" s="51" t="s">
        <v>69</v>
      </c>
      <c r="D45" s="51" t="s">
        <v>70</v>
      </c>
      <c r="E45" s="11">
        <v>9</v>
      </c>
      <c r="F45" s="12">
        <v>6.7</v>
      </c>
      <c r="G45" s="12">
        <f>592*0.009</f>
        <v>5.3279999999999994</v>
      </c>
      <c r="H45" s="12">
        <f>28.85*0.009</f>
        <v>0.25964999999999999</v>
      </c>
      <c r="I45" s="12">
        <f>27.24*0.009</f>
        <v>0.24515999999999996</v>
      </c>
      <c r="J45" s="13">
        <f>57.86*0.009</f>
        <v>0.52073999999999998</v>
      </c>
    </row>
    <row r="46" spans="1:10" ht="16.5" customHeight="1" x14ac:dyDescent="0.25">
      <c r="A46" s="39"/>
      <c r="B46" s="5" t="s">
        <v>16</v>
      </c>
      <c r="C46" s="3" t="s">
        <v>59</v>
      </c>
      <c r="D46" s="3" t="s">
        <v>66</v>
      </c>
      <c r="E46" s="14">
        <v>250</v>
      </c>
      <c r="F46" s="4">
        <v>11.33</v>
      </c>
      <c r="G46" s="4">
        <f>456*0.25+200*0</f>
        <v>114</v>
      </c>
      <c r="H46" s="4">
        <f>9.37*0.25+17.7*0</f>
        <v>2.3424999999999998</v>
      </c>
      <c r="I46" s="4">
        <f>11.31*0.25+14.4*0</f>
        <v>2.8275000000000001</v>
      </c>
      <c r="J46" s="6">
        <f>67.48*0.25+0</f>
        <v>16.87</v>
      </c>
    </row>
    <row r="47" spans="1:10" x14ac:dyDescent="0.25">
      <c r="A47" s="39"/>
      <c r="B47" s="5" t="s">
        <v>13</v>
      </c>
      <c r="C47" s="3" t="s">
        <v>53</v>
      </c>
      <c r="D47" s="3" t="s">
        <v>63</v>
      </c>
      <c r="E47" s="14" t="s">
        <v>64</v>
      </c>
      <c r="F47" s="4">
        <v>36.06</v>
      </c>
      <c r="G47" s="20">
        <f>309*0.8</f>
        <v>247.20000000000002</v>
      </c>
      <c r="H47" s="20">
        <f>10.64*0.8</f>
        <v>8.5120000000000005</v>
      </c>
      <c r="I47" s="20">
        <f>28.19*0.8</f>
        <v>22.552000000000003</v>
      </c>
      <c r="J47" s="21">
        <f>2.89*0.8</f>
        <v>2.3120000000000003</v>
      </c>
    </row>
    <row r="48" spans="1:10" x14ac:dyDescent="0.25">
      <c r="A48" s="39"/>
      <c r="B48" s="5" t="s">
        <v>17</v>
      </c>
      <c r="C48" s="3" t="s">
        <v>36</v>
      </c>
      <c r="D48" s="3" t="s">
        <v>37</v>
      </c>
      <c r="E48" s="14">
        <v>120</v>
      </c>
      <c r="F48" s="4">
        <v>10.99</v>
      </c>
      <c r="G48" s="30">
        <f>162.5*1.2</f>
        <v>195</v>
      </c>
      <c r="H48" s="30">
        <f>5.73*1.2</f>
        <v>6.8760000000000003</v>
      </c>
      <c r="I48" s="30">
        <f>4.06*1.2</f>
        <v>4.871999999999999</v>
      </c>
      <c r="J48" s="31">
        <f>25.76*1.2</f>
        <v>30.911999999999999</v>
      </c>
    </row>
    <row r="49" spans="1:10" x14ac:dyDescent="0.25">
      <c r="A49" s="39"/>
      <c r="B49" s="5" t="s">
        <v>18</v>
      </c>
      <c r="C49" s="3" t="s">
        <v>19</v>
      </c>
      <c r="D49" s="3" t="s">
        <v>20</v>
      </c>
      <c r="E49" s="14" t="s">
        <v>32</v>
      </c>
      <c r="F49" s="4">
        <v>3.04</v>
      </c>
      <c r="G49" s="4">
        <v>60</v>
      </c>
      <c r="H49" s="4">
        <v>7.0000000000000007E-2</v>
      </c>
      <c r="I49" s="4">
        <v>0.02</v>
      </c>
      <c r="J49" s="6">
        <v>15</v>
      </c>
    </row>
    <row r="50" spans="1:10" x14ac:dyDescent="0.25">
      <c r="A50" s="39"/>
      <c r="B50" s="5" t="s">
        <v>50</v>
      </c>
      <c r="C50" s="3" t="s">
        <v>51</v>
      </c>
      <c r="D50" s="3" t="s">
        <v>60</v>
      </c>
      <c r="E50" s="14">
        <v>35</v>
      </c>
      <c r="F50" s="4">
        <v>8.2899999999999991</v>
      </c>
      <c r="G50" s="4">
        <v>122.5</v>
      </c>
      <c r="H50" s="4">
        <v>1.75</v>
      </c>
      <c r="I50" s="4">
        <v>2.1</v>
      </c>
      <c r="J50" s="6">
        <v>24.15</v>
      </c>
    </row>
    <row r="51" spans="1:10" ht="15.75" thickBot="1" x14ac:dyDescent="0.3">
      <c r="A51" s="39"/>
      <c r="B51" s="7" t="s">
        <v>14</v>
      </c>
      <c r="C51" s="8" t="s">
        <v>30</v>
      </c>
      <c r="D51" s="8" t="s">
        <v>31</v>
      </c>
      <c r="E51" s="15">
        <v>15.5</v>
      </c>
      <c r="F51" s="16">
        <v>0.59</v>
      </c>
      <c r="G51" s="16">
        <f>229.7*0.155</f>
        <v>35.603499999999997</v>
      </c>
      <c r="H51" s="9">
        <f>6.7*0.155</f>
        <v>1.0385</v>
      </c>
      <c r="I51" s="9">
        <f>1.1*0.155</f>
        <v>0.17050000000000001</v>
      </c>
      <c r="J51" s="10">
        <f>48.3*0.155</f>
        <v>7.4864999999999995</v>
      </c>
    </row>
    <row r="52" spans="1:10" ht="15.75" thickBot="1" x14ac:dyDescent="0.3">
      <c r="A52" s="55" t="s">
        <v>15</v>
      </c>
      <c r="B52" s="56"/>
      <c r="C52" s="56"/>
      <c r="D52" s="56"/>
      <c r="E52" s="76"/>
      <c r="F52" s="60">
        <f>SUM(F45:F51)</f>
        <v>77</v>
      </c>
      <c r="G52" s="60">
        <f>SUM(G45:G51)</f>
        <v>779.63149999999996</v>
      </c>
      <c r="H52" s="60">
        <f>SUM(H45:H51)</f>
        <v>20.848649999999999</v>
      </c>
      <c r="I52" s="60">
        <f>SUM(I45:I51)</f>
        <v>32.78716</v>
      </c>
      <c r="J52" s="60">
        <f>SUM(J45:J51)</f>
        <v>97.251239999999996</v>
      </c>
    </row>
    <row r="54" spans="1:10" ht="15.75" thickBot="1" x14ac:dyDescent="0.3">
      <c r="A54" s="40" t="s">
        <v>24</v>
      </c>
      <c r="B54" s="40"/>
      <c r="C54" s="40"/>
      <c r="D54" s="40"/>
      <c r="E54" s="40"/>
      <c r="F54" s="40"/>
      <c r="G54" s="40"/>
      <c r="H54" s="40"/>
      <c r="I54" s="40"/>
      <c r="J54" s="40"/>
    </row>
    <row r="55" spans="1:10" x14ac:dyDescent="0.25">
      <c r="A55" s="19"/>
      <c r="B55" s="19"/>
      <c r="C55" s="77" t="s">
        <v>22</v>
      </c>
      <c r="D55" s="77"/>
      <c r="G55" s="78"/>
      <c r="H55" s="78"/>
      <c r="I55" s="78"/>
      <c r="J55" s="78"/>
    </row>
    <row r="56" spans="1:10" x14ac:dyDescent="0.25">
      <c r="A56" s="1"/>
      <c r="B56" s="1"/>
      <c r="C56" s="1"/>
      <c r="D56" s="1"/>
    </row>
    <row r="57" spans="1:10" x14ac:dyDescent="0.25">
      <c r="A57" s="38" t="s">
        <v>23</v>
      </c>
      <c r="B57" s="38"/>
    </row>
    <row r="58" spans="1:10" x14ac:dyDescent="0.25">
      <c r="A58" s="38" t="s">
        <v>25</v>
      </c>
      <c r="B58" s="38"/>
    </row>
  </sheetData>
  <mergeCells count="25">
    <mergeCell ref="A31:E31"/>
    <mergeCell ref="A22:E22"/>
    <mergeCell ref="A27:A30"/>
    <mergeCell ref="A3:A7"/>
    <mergeCell ref="A23:A25"/>
    <mergeCell ref="A26:E26"/>
    <mergeCell ref="A15:A21"/>
    <mergeCell ref="B1:C1"/>
    <mergeCell ref="G1:J1"/>
    <mergeCell ref="A8:E8"/>
    <mergeCell ref="A9:A13"/>
    <mergeCell ref="A14:E14"/>
    <mergeCell ref="A32:A34"/>
    <mergeCell ref="A35:E35"/>
    <mergeCell ref="A36:A37"/>
    <mergeCell ref="A38:E38"/>
    <mergeCell ref="A39:A43"/>
    <mergeCell ref="A57:B57"/>
    <mergeCell ref="A58:B58"/>
    <mergeCell ref="A44:E44"/>
    <mergeCell ref="A45:A51"/>
    <mergeCell ref="A52:E52"/>
    <mergeCell ref="A54:J54"/>
    <mergeCell ref="C55:D55"/>
    <mergeCell ref="G55:J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2023-03-06T11:47:08Z</dcterms:modified>
</cp:coreProperties>
</file>