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J49" i="1"/>
  <c r="I49" i="1"/>
  <c r="H49" i="1"/>
  <c r="G49" i="1"/>
  <c r="J52" i="1"/>
  <c r="I52" i="1"/>
  <c r="H52" i="1"/>
  <c r="G52" i="1"/>
  <c r="J48" i="1"/>
  <c r="I48" i="1"/>
  <c r="H48" i="1"/>
  <c r="G48" i="1"/>
  <c r="J47" i="1"/>
  <c r="I47" i="1"/>
  <c r="H47" i="1"/>
  <c r="G47" i="1"/>
  <c r="J45" i="1"/>
  <c r="I45" i="1"/>
  <c r="H45" i="1"/>
  <c r="G45" i="1"/>
  <c r="J42" i="1"/>
  <c r="I42" i="1"/>
  <c r="H42" i="1"/>
  <c r="G42" i="1"/>
  <c r="J38" i="1"/>
  <c r="I38" i="1"/>
  <c r="H38" i="1"/>
  <c r="G38" i="1"/>
  <c r="J33" i="1"/>
  <c r="I33" i="1"/>
  <c r="H33" i="1"/>
  <c r="G33" i="1"/>
  <c r="J31" i="1" l="1"/>
  <c r="I31" i="1"/>
  <c r="H31" i="1"/>
  <c r="G31" i="1"/>
  <c r="J28" i="1"/>
  <c r="I28" i="1"/>
  <c r="H28" i="1"/>
  <c r="G28" i="1"/>
  <c r="J25" i="1"/>
  <c r="I25" i="1"/>
  <c r="H25" i="1"/>
  <c r="G25" i="1"/>
  <c r="J21" i="1"/>
  <c r="H21" i="1"/>
  <c r="I21" i="1"/>
  <c r="G21" i="1"/>
  <c r="J20" i="1"/>
  <c r="I20" i="1"/>
  <c r="H20" i="1"/>
  <c r="G20" i="1"/>
  <c r="J17" i="1"/>
  <c r="I17" i="1"/>
  <c r="H17" i="1"/>
  <c r="G17" i="1"/>
  <c r="J16" i="1"/>
  <c r="I16" i="1"/>
  <c r="H16" i="1"/>
  <c r="G16" i="1"/>
  <c r="J19" i="1"/>
  <c r="I19" i="1"/>
  <c r="H19" i="1"/>
  <c r="G19" i="1"/>
  <c r="J15" i="1" l="1"/>
  <c r="I15" i="1"/>
  <c r="H15" i="1"/>
  <c r="G15" i="1"/>
  <c r="F14" i="1"/>
  <c r="J13" i="1"/>
  <c r="I13" i="1"/>
  <c r="H13" i="1"/>
  <c r="G13" i="1"/>
  <c r="J10" i="1"/>
  <c r="I10" i="1"/>
  <c r="H10" i="1"/>
  <c r="G10" i="1"/>
  <c r="J7" i="1"/>
  <c r="I7" i="1"/>
  <c r="H7" i="1"/>
  <c r="G7" i="1"/>
  <c r="J6" i="1"/>
  <c r="I6" i="1"/>
  <c r="H6" i="1"/>
  <c r="G6" i="1"/>
  <c r="J43" i="1" l="1"/>
  <c r="I43" i="1"/>
  <c r="H43" i="1"/>
  <c r="G43" i="1"/>
  <c r="J41" i="1"/>
  <c r="I41" i="1"/>
  <c r="H41" i="1"/>
  <c r="G41" i="1"/>
  <c r="J36" i="1"/>
  <c r="I36" i="1"/>
  <c r="H36" i="1"/>
  <c r="G36" i="1"/>
  <c r="J27" i="1" l="1"/>
  <c r="I27" i="1"/>
  <c r="H27" i="1"/>
  <c r="G27" i="1"/>
  <c r="J11" i="1" l="1"/>
  <c r="I11" i="1"/>
  <c r="H11" i="1"/>
  <c r="G11" i="1"/>
  <c r="J34" i="1" l="1"/>
  <c r="I34" i="1"/>
  <c r="H34" i="1"/>
  <c r="G34" i="1"/>
  <c r="J9" i="1" l="1"/>
  <c r="J14" i="1" s="1"/>
  <c r="I9" i="1"/>
  <c r="I14" i="1" s="1"/>
  <c r="H9" i="1"/>
  <c r="H14" i="1" s="1"/>
  <c r="G9" i="1"/>
  <c r="G14" i="1" s="1"/>
  <c r="J23" i="1"/>
  <c r="I23" i="1"/>
  <c r="H23" i="1"/>
  <c r="G23" i="1"/>
  <c r="F8" i="1" l="1"/>
  <c r="J3" i="1"/>
  <c r="I3" i="1"/>
  <c r="H3" i="1"/>
  <c r="G3" i="1"/>
  <c r="F37" i="1" l="1"/>
  <c r="H32" i="1"/>
  <c r="J32" i="1"/>
  <c r="F53" i="1"/>
  <c r="J53" i="1"/>
  <c r="I53" i="1"/>
  <c r="H53" i="1"/>
  <c r="G53" i="1"/>
  <c r="F46" i="1"/>
  <c r="J46" i="1"/>
  <c r="I46" i="1"/>
  <c r="H46" i="1"/>
  <c r="G46" i="1"/>
  <c r="F40" i="1"/>
  <c r="J40" i="1"/>
  <c r="I40" i="1"/>
  <c r="H40" i="1"/>
  <c r="G40" i="1"/>
  <c r="J37" i="1"/>
  <c r="I37" i="1"/>
  <c r="H37" i="1"/>
  <c r="G37" i="1"/>
  <c r="F32" i="1"/>
  <c r="I32" i="1"/>
  <c r="G32" i="1"/>
  <c r="F22" i="1" l="1"/>
  <c r="J4" i="1" l="1"/>
  <c r="J8" i="1" s="1"/>
  <c r="I4" i="1"/>
  <c r="I8" i="1" s="1"/>
  <c r="H4" i="1"/>
  <c r="H8" i="1" s="1"/>
  <c r="G4" i="1"/>
  <c r="G8" i="1" s="1"/>
  <c r="J22" i="1" l="1"/>
  <c r="I22" i="1"/>
  <c r="H22" i="1"/>
  <c r="G22" i="1"/>
  <c r="F26" i="1" l="1"/>
  <c r="J26" i="1"/>
  <c r="I26" i="1"/>
  <c r="H26" i="1"/>
  <c r="G26" i="1"/>
</calcChain>
</file>

<file path=xl/sharedStrings.xml><?xml version="1.0" encoding="utf-8"?>
<sst xmlns="http://schemas.openxmlformats.org/spreadsheetml/2006/main" count="178" uniqueCount="70">
  <si>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</si>
  <si>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</si>
  <si>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</si>
  <si>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</si>
  <si>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</si>
  <si>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</si>
  <si>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</si>
  <si>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</si>
  <si>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</si>
  <si>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</si>
  <si>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</si>
  <si>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</si>
  <si>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</si>
  <si>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</si>
  <si>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</si>
  <si>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</si>
  <si>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</si>
  <si>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</si>
  <si>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</si>
  <si>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</si>
  <si>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</si>
  <si>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</si>
  <si>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</si>
  <si>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</si>
  <si>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</si>
  <si>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</si>
  <si>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</si>
  <si>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</si>
  <si>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</si>
  <si>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</si>
  <si>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</si>
  <si>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</si>
  <si>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</si>
  <si>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</si>
  <si>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</si>
  <si>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</si>
  <si>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</si>
  <si>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</si>
  <si>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Фрукт</t>
  </si>
  <si>
    <t>№338-2015г.</t>
  </si>
  <si>
    <t>№3-2015г.</t>
  </si>
  <si>
    <t>Бутерброд с сыром</t>
  </si>
  <si>
    <t>№173-2015г.</t>
  </si>
  <si>
    <t>Каша вязкая молочная из пшённой крупы с маслом</t>
  </si>
  <si>
    <t>200/10</t>
  </si>
  <si>
    <t>№304-2015г.</t>
  </si>
  <si>
    <t>Рис отварной</t>
  </si>
  <si>
    <t>№102-2015г.</t>
  </si>
  <si>
    <t>Завтрак 5-11 кл с доплатой 62,50 руб. и льготники с доплатой 42,50 руб.; ДМГ 77,00 1 смена</t>
  </si>
  <si>
    <t>Обед 6 кл.; ДМГ 77,00 2-я смена</t>
  </si>
  <si>
    <t>20/3/20</t>
  </si>
  <si>
    <t>Фрукты свежие (банан)</t>
  </si>
  <si>
    <t>Суп картофельный с горохом с зеленью</t>
  </si>
  <si>
    <t>250/2</t>
  </si>
  <si>
    <t>№243-2015г.</t>
  </si>
  <si>
    <t>Сосиска отварная</t>
  </si>
  <si>
    <t>№306-2015г.</t>
  </si>
  <si>
    <t xml:space="preserve">Бобовые отварные (кукуруза сахарная консервированная) </t>
  </si>
  <si>
    <t>№2-2015г.</t>
  </si>
  <si>
    <t>Бутерброд с повидлом</t>
  </si>
  <si>
    <t>№424-2015г.</t>
  </si>
  <si>
    <t>Булочка домашняя</t>
  </si>
  <si>
    <t>ТТК №22</t>
  </si>
  <si>
    <t>Котлета "Дальневосточная"</t>
  </si>
  <si>
    <t>ТТК №50</t>
  </si>
  <si>
    <t>Блинчик с джемом</t>
  </si>
  <si>
    <t>Фрукты свежие (яблоко)</t>
  </si>
  <si>
    <t>№382-2015г.</t>
  </si>
  <si>
    <t>Какао с молоком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</si>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</sst>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/>
    <xf numFmtId="2" fontId="4" fillId="0" borderId="13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/>
    <xf numFmtId="0" fontId="4" fillId="0" borderId="2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7" xfId="0" applyFont="1" applyBorder="1" applyAlignment="1">
      <alignment horizontal="left" vertical="center" wrapText="1"/>
    </xf>
    <xf numFmtId="0" fontId="4" fillId="0" borderId="0" xfId="0" applyFont="1"/>
    <xf numFmtId="0" fontId="4" fillId="0" borderId="6" xfId="0" applyFont="1" applyBorder="1" applyAlignment="1">
      <alignment horizontal="left" vertical="center" wrapText="1"/>
    </xf>
    <xf numFmtId="2" fontId="5" fillId="0" borderId="35" xfId="0" applyNumberFormat="1" applyFont="1" applyBorder="1" applyAlignment="1">
      <alignment vertical="center" wrapText="1"/>
    </xf>
    <xf numFmtId="0" fontId="4" fillId="0" borderId="7" xfId="2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right" vertical="center" wrapText="1"/>
    </xf>
    <xf numFmtId="2" fontId="4" fillId="0" borderId="7" xfId="2" applyNumberFormat="1" applyFont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vertical="center" wrapText="1"/>
    </xf>
    <xf numFmtId="2" fontId="5" fillId="0" borderId="27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0" xfId="0" applyFont="1"/>
    <xf numFmtId="0" fontId="4" fillId="0" borderId="0" xfId="0" applyFont="1"/>
    <xf numFmtId="0" fontId="10" fillId="0" borderId="3" xfId="8" applyNumberFormat="1" applyFont="1" applyBorder="1" applyAlignment="1">
      <alignment horizontal="left" vertical="center" wrapText="1"/>
    </xf>
    <xf numFmtId="0" fontId="4" fillId="0" borderId="3" xfId="7" applyFont="1" applyBorder="1" applyAlignment="1">
      <alignment vertical="center" wrapText="1"/>
    </xf>
    <xf numFmtId="4" fontId="10" fillId="0" borderId="3" xfId="8" applyNumberFormat="1" applyFont="1" applyBorder="1" applyAlignment="1">
      <alignment horizontal="right" vertical="center"/>
    </xf>
    <xf numFmtId="4" fontId="4" fillId="0" borderId="3" xfId="7" applyNumberFormat="1" applyFont="1" applyBorder="1" applyAlignment="1">
      <alignment horizontal="right" vertical="center" wrapText="1"/>
    </xf>
    <xf numFmtId="4" fontId="4" fillId="0" borderId="10" xfId="7" applyNumberFormat="1" applyFont="1" applyBorder="1" applyAlignment="1">
      <alignment horizontal="right" vertical="center" wrapText="1"/>
    </xf>
    <xf numFmtId="2" fontId="8" fillId="0" borderId="7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34" workbookViewId="0">
      <selection activeCell="K51" sqref="K51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9" t="s">
        <v>22</v>
      </c>
      <c r="C1" s="60"/>
      <c r="D1" s="1" t="s">
        <v>1</v>
      </c>
      <c r="E1" s="23"/>
      <c r="F1" s="1" t="s">
        <v>2</v>
      </c>
      <c r="G1" s="61">
        <v>44998</v>
      </c>
      <c r="H1" s="62"/>
      <c r="I1" s="62"/>
      <c r="J1" s="63"/>
      <c r="K1" s="1"/>
      <c r="L1" s="1"/>
    </row>
    <row r="2" spans="1:12" ht="15.75" thickBot="1" x14ac:dyDescent="0.3">
      <c r="A2" s="27" t="s">
        <v>3</v>
      </c>
      <c r="B2" s="4" t="s">
        <v>4</v>
      </c>
      <c r="C2" s="28" t="s">
        <v>5</v>
      </c>
      <c r="D2" s="31" t="s">
        <v>6</v>
      </c>
      <c r="E2" s="31" t="s">
        <v>7</v>
      </c>
      <c r="F2" s="31" t="s">
        <v>8</v>
      </c>
      <c r="G2" s="4" t="s">
        <v>9</v>
      </c>
      <c r="H2" s="4" t="s">
        <v>10</v>
      </c>
      <c r="I2" s="4" t="s">
        <v>11</v>
      </c>
      <c r="J2" s="29" t="s">
        <v>12</v>
      </c>
    </row>
    <row r="3" spans="1:12" x14ac:dyDescent="0.25">
      <c r="A3" s="73" t="s">
        <v>27</v>
      </c>
      <c r="B3" s="41" t="s">
        <v>31</v>
      </c>
      <c r="C3" s="39" t="s">
        <v>40</v>
      </c>
      <c r="D3" s="43" t="s">
        <v>41</v>
      </c>
      <c r="E3" s="44" t="s">
        <v>50</v>
      </c>
      <c r="F3" s="13">
        <v>27.96</v>
      </c>
      <c r="G3" s="14">
        <f>364*0.2+660*0.03+229.7*0.2</f>
        <v>138.54</v>
      </c>
      <c r="H3" s="45">
        <f>23.2*0.2+0.8*0.03+6.7*0.2</f>
        <v>6.0039999999999996</v>
      </c>
      <c r="I3" s="45">
        <f>29.5*0.2+72.5*0.03+1.1*0.2</f>
        <v>8.2949999999999999</v>
      </c>
      <c r="J3" s="46">
        <f>0+1.3*0.03+48.3*0.2</f>
        <v>9.6989999999999998</v>
      </c>
    </row>
    <row r="4" spans="1:12" s="40" customFormat="1" x14ac:dyDescent="0.25">
      <c r="A4" s="73"/>
      <c r="B4" s="7" t="s">
        <v>13</v>
      </c>
      <c r="C4" s="5" t="s">
        <v>42</v>
      </c>
      <c r="D4" s="5" t="s">
        <v>43</v>
      </c>
      <c r="E4" s="16" t="s">
        <v>44</v>
      </c>
      <c r="F4" s="6">
        <v>25.74</v>
      </c>
      <c r="G4" s="6">
        <f>289-66*0</f>
        <v>289</v>
      </c>
      <c r="H4" s="6">
        <f>8.2-0.08*0</f>
        <v>8.1999999999999993</v>
      </c>
      <c r="I4" s="6">
        <f>10.6-7.25*0</f>
        <v>10.6</v>
      </c>
      <c r="J4" s="8">
        <f>40.1-0.13*0</f>
        <v>40.1</v>
      </c>
      <c r="K4"/>
    </row>
    <row r="5" spans="1:12" s="40" customFormat="1" x14ac:dyDescent="0.25">
      <c r="A5" s="73"/>
      <c r="B5" s="7" t="s">
        <v>18</v>
      </c>
      <c r="C5" s="5" t="s">
        <v>19</v>
      </c>
      <c r="D5" s="5" t="s">
        <v>20</v>
      </c>
      <c r="E5" s="16" t="s">
        <v>34</v>
      </c>
      <c r="F5" s="6">
        <v>2.99</v>
      </c>
      <c r="G5" s="6">
        <v>60</v>
      </c>
      <c r="H5" s="6">
        <v>7.0000000000000007E-2</v>
      </c>
      <c r="I5" s="6">
        <v>0.02</v>
      </c>
      <c r="J5" s="8">
        <v>15</v>
      </c>
      <c r="K5"/>
    </row>
    <row r="6" spans="1:12" s="34" customFormat="1" x14ac:dyDescent="0.25">
      <c r="A6" s="73"/>
      <c r="B6" s="7" t="s">
        <v>14</v>
      </c>
      <c r="C6" s="5" t="s">
        <v>32</v>
      </c>
      <c r="D6" s="5" t="s">
        <v>33</v>
      </c>
      <c r="E6" s="16">
        <v>49.5</v>
      </c>
      <c r="F6" s="6">
        <v>1.87</v>
      </c>
      <c r="G6" s="6">
        <f>229.7*0.495</f>
        <v>113.7015</v>
      </c>
      <c r="H6" s="48">
        <f>6.7*0.495</f>
        <v>3.3165</v>
      </c>
      <c r="I6" s="48">
        <f>1.1*0.495</f>
        <v>0.54449999999999998</v>
      </c>
      <c r="J6" s="49">
        <f>48.3*0.495</f>
        <v>23.9085</v>
      </c>
    </row>
    <row r="7" spans="1:12" s="33" customFormat="1" ht="15.75" thickBot="1" x14ac:dyDescent="0.3">
      <c r="A7" s="73"/>
      <c r="B7" s="9" t="s">
        <v>38</v>
      </c>
      <c r="C7" s="10" t="s">
        <v>39</v>
      </c>
      <c r="D7" s="10" t="s">
        <v>51</v>
      </c>
      <c r="E7" s="17">
        <v>230</v>
      </c>
      <c r="F7" s="18">
        <v>38.590000000000003</v>
      </c>
      <c r="G7" s="36">
        <f>96*2.3</f>
        <v>220.79999999999998</v>
      </c>
      <c r="H7" s="36">
        <f>1.5*2.3</f>
        <v>3.4499999999999997</v>
      </c>
      <c r="I7" s="36">
        <f>0.5*2.3</f>
        <v>1.1499999999999999</v>
      </c>
      <c r="J7" s="37">
        <f>21*2.3</f>
        <v>48.3</v>
      </c>
    </row>
    <row r="8" spans="1:12" ht="16.5" thickBot="1" x14ac:dyDescent="0.3">
      <c r="A8" s="67" t="s">
        <v>15</v>
      </c>
      <c r="B8" s="68"/>
      <c r="C8" s="68"/>
      <c r="D8" s="68"/>
      <c r="E8" s="69"/>
      <c r="F8" s="47">
        <f>SUM(F3:F7)</f>
        <v>97.15</v>
      </c>
      <c r="G8" s="47">
        <f t="shared" ref="G8:J8" si="0">SUM(G3:G7)</f>
        <v>822.04149999999993</v>
      </c>
      <c r="H8" s="47">
        <f t="shared" si="0"/>
        <v>21.040499999999998</v>
      </c>
      <c r="I8" s="47">
        <f t="shared" si="0"/>
        <v>20.609499999999997</v>
      </c>
      <c r="J8" s="47">
        <f t="shared" si="0"/>
        <v>137.00749999999999</v>
      </c>
    </row>
    <row r="9" spans="1:12" x14ac:dyDescent="0.25">
      <c r="A9" s="70" t="s">
        <v>28</v>
      </c>
      <c r="B9" s="20" t="s">
        <v>16</v>
      </c>
      <c r="C9" s="21" t="s">
        <v>47</v>
      </c>
      <c r="D9" s="21" t="s">
        <v>52</v>
      </c>
      <c r="E9" s="13" t="s">
        <v>53</v>
      </c>
      <c r="F9" s="14">
        <v>7.98</v>
      </c>
      <c r="G9" s="14">
        <f>148.25+22*0</f>
        <v>148.25</v>
      </c>
      <c r="H9" s="14">
        <f>5.49+1.68*0</f>
        <v>5.49</v>
      </c>
      <c r="I9" s="14">
        <f>5.27+1.7*0</f>
        <v>5.27</v>
      </c>
      <c r="J9" s="15">
        <f>16.54+0.02*0</f>
        <v>16.54</v>
      </c>
      <c r="K9"/>
    </row>
    <row r="10" spans="1:12" x14ac:dyDescent="0.25">
      <c r="A10" s="70"/>
      <c r="B10" s="7" t="s">
        <v>13</v>
      </c>
      <c r="C10" s="52" t="s">
        <v>62</v>
      </c>
      <c r="D10" s="53" t="s">
        <v>63</v>
      </c>
      <c r="E10" s="16">
        <v>40</v>
      </c>
      <c r="F10" s="6">
        <v>18.07</v>
      </c>
      <c r="G10" s="54">
        <f>197.7/75*40</f>
        <v>105.43999999999998</v>
      </c>
      <c r="H10" s="55">
        <f>8.9/75*40</f>
        <v>4.746666666666667</v>
      </c>
      <c r="I10" s="55">
        <f>12.4/75*40</f>
        <v>6.6133333333333333</v>
      </c>
      <c r="J10" s="56">
        <f>12.6/75*40</f>
        <v>6.7199999999999989</v>
      </c>
      <c r="K10"/>
    </row>
    <row r="11" spans="1:12" s="51" customFormat="1" x14ac:dyDescent="0.25">
      <c r="A11" s="70"/>
      <c r="B11" s="7" t="s">
        <v>17</v>
      </c>
      <c r="C11" s="5" t="s">
        <v>45</v>
      </c>
      <c r="D11" s="5" t="s">
        <v>46</v>
      </c>
      <c r="E11" s="16">
        <v>120</v>
      </c>
      <c r="F11" s="6">
        <v>11.94</v>
      </c>
      <c r="G11" s="6">
        <f>1398*0.12</f>
        <v>167.76</v>
      </c>
      <c r="H11" s="6">
        <f>24.34*0.12</f>
        <v>2.9207999999999998</v>
      </c>
      <c r="I11" s="6">
        <f>35.83*0.12</f>
        <v>4.2995999999999999</v>
      </c>
      <c r="J11" s="8">
        <f>244.56*0.12</f>
        <v>29.347200000000001</v>
      </c>
    </row>
    <row r="12" spans="1:12" s="24" customFormat="1" x14ac:dyDescent="0.25">
      <c r="A12" s="70"/>
      <c r="B12" s="7" t="s">
        <v>18</v>
      </c>
      <c r="C12" s="5" t="s">
        <v>19</v>
      </c>
      <c r="D12" s="5" t="s">
        <v>20</v>
      </c>
      <c r="E12" s="16" t="s">
        <v>34</v>
      </c>
      <c r="F12" s="6">
        <v>2.99</v>
      </c>
      <c r="G12" s="6">
        <v>60</v>
      </c>
      <c r="H12" s="6">
        <v>7.0000000000000007E-2</v>
      </c>
      <c r="I12" s="6">
        <v>0.02</v>
      </c>
      <c r="J12" s="8">
        <v>15</v>
      </c>
    </row>
    <row r="13" spans="1:12" ht="15.75" thickBot="1" x14ac:dyDescent="0.3">
      <c r="A13" s="70"/>
      <c r="B13" s="9" t="s">
        <v>14</v>
      </c>
      <c r="C13" s="10" t="s">
        <v>32</v>
      </c>
      <c r="D13" s="10" t="s">
        <v>33</v>
      </c>
      <c r="E13" s="17">
        <v>35</v>
      </c>
      <c r="F13" s="18">
        <v>1.31</v>
      </c>
      <c r="G13" s="18">
        <f>229.7*0.35</f>
        <v>80.394999999999996</v>
      </c>
      <c r="H13" s="11">
        <f>6.7*0.35</f>
        <v>2.3449999999999998</v>
      </c>
      <c r="I13" s="11">
        <f>1.1*0.35</f>
        <v>0.38500000000000001</v>
      </c>
      <c r="J13" s="12">
        <f>48.3*0.35</f>
        <v>16.904999999999998</v>
      </c>
    </row>
    <row r="14" spans="1:12" ht="16.5" thickBot="1" x14ac:dyDescent="0.3">
      <c r="A14" s="71" t="s">
        <v>15</v>
      </c>
      <c r="B14" s="68"/>
      <c r="C14" s="68"/>
      <c r="D14" s="68"/>
      <c r="E14" s="72"/>
      <c r="F14" s="19">
        <f>SUM(F9:F13)</f>
        <v>42.290000000000006</v>
      </c>
      <c r="G14" s="19">
        <f t="shared" ref="G14:J14" si="1">SUM(G9:G13)</f>
        <v>561.84500000000003</v>
      </c>
      <c r="H14" s="19">
        <f t="shared" si="1"/>
        <v>15.572466666666667</v>
      </c>
      <c r="I14" s="19">
        <f t="shared" si="1"/>
        <v>16.587933333333332</v>
      </c>
      <c r="J14" s="19">
        <f t="shared" si="1"/>
        <v>84.512200000000007</v>
      </c>
    </row>
    <row r="15" spans="1:12" s="38" customFormat="1" ht="18" customHeight="1" x14ac:dyDescent="0.25">
      <c r="A15" s="79" t="s">
        <v>29</v>
      </c>
      <c r="B15" s="20" t="s">
        <v>16</v>
      </c>
      <c r="C15" s="21" t="s">
        <v>47</v>
      </c>
      <c r="D15" s="21" t="s">
        <v>52</v>
      </c>
      <c r="E15" s="13" t="s">
        <v>53</v>
      </c>
      <c r="F15" s="14">
        <v>7.98</v>
      </c>
      <c r="G15" s="14">
        <f>148.25+22*0</f>
        <v>148.25</v>
      </c>
      <c r="H15" s="14">
        <f>5.49+1.68*0</f>
        <v>5.49</v>
      </c>
      <c r="I15" s="14">
        <f>5.27+1.7*0</f>
        <v>5.27</v>
      </c>
      <c r="J15" s="15">
        <f>16.54+0.02*0</f>
        <v>16.54</v>
      </c>
    </row>
    <row r="16" spans="1:12" s="32" customFormat="1" x14ac:dyDescent="0.25">
      <c r="A16" s="87"/>
      <c r="B16" s="7" t="s">
        <v>13</v>
      </c>
      <c r="C16" s="52" t="s">
        <v>62</v>
      </c>
      <c r="D16" s="53" t="s">
        <v>63</v>
      </c>
      <c r="E16" s="16">
        <v>80</v>
      </c>
      <c r="F16" s="6">
        <v>36.14</v>
      </c>
      <c r="G16" s="54">
        <f>197.7/75*80</f>
        <v>210.87999999999997</v>
      </c>
      <c r="H16" s="55">
        <f>8.9/75*80</f>
        <v>9.4933333333333341</v>
      </c>
      <c r="I16" s="55">
        <f>12.4/75*80</f>
        <v>13.226666666666667</v>
      </c>
      <c r="J16" s="56">
        <f>12.6/75*80</f>
        <v>13.439999999999998</v>
      </c>
    </row>
    <row r="17" spans="1:11" s="35" customFormat="1" x14ac:dyDescent="0.25">
      <c r="A17" s="87"/>
      <c r="B17" s="7" t="s">
        <v>17</v>
      </c>
      <c r="C17" s="5" t="s">
        <v>45</v>
      </c>
      <c r="D17" s="5" t="s">
        <v>46</v>
      </c>
      <c r="E17" s="16">
        <v>120</v>
      </c>
      <c r="F17" s="6">
        <v>11.94</v>
      </c>
      <c r="G17" s="6">
        <f>1398*0.12</f>
        <v>167.76</v>
      </c>
      <c r="H17" s="6">
        <f>24.34*0.12</f>
        <v>2.9207999999999998</v>
      </c>
      <c r="I17" s="6">
        <f>35.83*0.12</f>
        <v>4.2995999999999999</v>
      </c>
      <c r="J17" s="8">
        <f>244.56*0.12</f>
        <v>29.347200000000001</v>
      </c>
      <c r="K17"/>
    </row>
    <row r="18" spans="1:11" s="51" customFormat="1" x14ac:dyDescent="0.25">
      <c r="A18" s="87"/>
      <c r="B18" s="7" t="s">
        <v>18</v>
      </c>
      <c r="C18" s="5" t="s">
        <v>19</v>
      </c>
      <c r="D18" s="5" t="s">
        <v>20</v>
      </c>
      <c r="E18" s="16" t="s">
        <v>34</v>
      </c>
      <c r="F18" s="6">
        <v>2.99</v>
      </c>
      <c r="G18" s="6">
        <v>60</v>
      </c>
      <c r="H18" s="6">
        <v>7.0000000000000007E-2</v>
      </c>
      <c r="I18" s="6">
        <v>0.02</v>
      </c>
      <c r="J18" s="8">
        <v>15</v>
      </c>
    </row>
    <row r="19" spans="1:11" s="40" customFormat="1" ht="15.75" x14ac:dyDescent="0.25">
      <c r="A19" s="87"/>
      <c r="B19" s="7" t="s">
        <v>21</v>
      </c>
      <c r="C19" s="90" t="s">
        <v>64</v>
      </c>
      <c r="D19" s="91" t="s">
        <v>65</v>
      </c>
      <c r="E19" s="16">
        <v>55</v>
      </c>
      <c r="F19" s="6">
        <v>21.59</v>
      </c>
      <c r="G19" s="92">
        <f>192.8/90*55</f>
        <v>117.82222222222222</v>
      </c>
      <c r="H19" s="93">
        <f>2.9/9*5.5</f>
        <v>1.7722222222222221</v>
      </c>
      <c r="I19" s="93">
        <f>7.6/9*5.5</f>
        <v>4.6444444444444448</v>
      </c>
      <c r="J19" s="94">
        <f>28.3/9*5.5</f>
        <v>17.294444444444444</v>
      </c>
      <c r="K19"/>
    </row>
    <row r="20" spans="1:11" s="30" customFormat="1" x14ac:dyDescent="0.25">
      <c r="A20" s="87"/>
      <c r="B20" s="7" t="s">
        <v>14</v>
      </c>
      <c r="C20" s="5" t="s">
        <v>32</v>
      </c>
      <c r="D20" s="5" t="s">
        <v>33</v>
      </c>
      <c r="E20" s="16">
        <v>22</v>
      </c>
      <c r="F20" s="6">
        <v>0.82</v>
      </c>
      <c r="G20" s="6">
        <f>229.7*0.22</f>
        <v>50.533999999999999</v>
      </c>
      <c r="H20" s="48">
        <f>6.7*0.22</f>
        <v>1.474</v>
      </c>
      <c r="I20" s="48">
        <f>1.1*0.22</f>
        <v>0.24200000000000002</v>
      </c>
      <c r="J20" s="49">
        <f>48.3*0.22</f>
        <v>10.625999999999999</v>
      </c>
    </row>
    <row r="21" spans="1:11" s="30" customFormat="1" ht="15.75" thickBot="1" x14ac:dyDescent="0.3">
      <c r="A21" s="80"/>
      <c r="B21" s="9" t="s">
        <v>38</v>
      </c>
      <c r="C21" s="10" t="s">
        <v>39</v>
      </c>
      <c r="D21" s="10" t="s">
        <v>66</v>
      </c>
      <c r="E21" s="17">
        <v>130</v>
      </c>
      <c r="F21" s="18">
        <v>15.69</v>
      </c>
      <c r="G21" s="18">
        <f>47*1.3</f>
        <v>61.1</v>
      </c>
      <c r="H21" s="11">
        <f>0.4*1.3</f>
        <v>0.52</v>
      </c>
      <c r="I21" s="11">
        <f>0.4*1.3</f>
        <v>0.52</v>
      </c>
      <c r="J21" s="12">
        <f>9.8*1.3</f>
        <v>12.740000000000002</v>
      </c>
    </row>
    <row r="22" spans="1:11" s="25" customFormat="1" ht="16.5" thickBot="1" x14ac:dyDescent="0.3">
      <c r="A22" s="67" t="s">
        <v>15</v>
      </c>
      <c r="B22" s="68"/>
      <c r="C22" s="68"/>
      <c r="D22" s="68"/>
      <c r="E22" s="69"/>
      <c r="F22" s="19">
        <f>SUM(F15:F21)</f>
        <v>97.149999999999991</v>
      </c>
      <c r="G22" s="19">
        <f>SUM(G15:G21)</f>
        <v>816.3462222222222</v>
      </c>
      <c r="H22" s="19">
        <f>SUM(H15:H21)</f>
        <v>21.740355555555556</v>
      </c>
      <c r="I22" s="19">
        <f>SUM(I15:I21)</f>
        <v>28.222711111111114</v>
      </c>
      <c r="J22" s="19">
        <f>SUM(J15:J21)</f>
        <v>114.98764444444447</v>
      </c>
      <c r="K22"/>
    </row>
    <row r="23" spans="1:11" s="35" customFormat="1" x14ac:dyDescent="0.25">
      <c r="A23" s="84" t="s">
        <v>30</v>
      </c>
      <c r="B23" s="41" t="s">
        <v>31</v>
      </c>
      <c r="C23" s="39" t="s">
        <v>40</v>
      </c>
      <c r="D23" s="43" t="s">
        <v>41</v>
      </c>
      <c r="E23" s="44" t="s">
        <v>50</v>
      </c>
      <c r="F23" s="13">
        <v>27.96</v>
      </c>
      <c r="G23" s="14">
        <f>364*0.2+660*0.03+229.7*0.2</f>
        <v>138.54</v>
      </c>
      <c r="H23" s="45">
        <f>23.2*0.2+0.8*0.03+6.7*0.2</f>
        <v>6.0039999999999996</v>
      </c>
      <c r="I23" s="45">
        <f>29.5*0.2+72.5*0.03+1.1*0.2</f>
        <v>8.2949999999999999</v>
      </c>
      <c r="J23" s="46">
        <f>0+1.3*0.03+48.3*0.2</f>
        <v>9.6989999999999998</v>
      </c>
      <c r="K23"/>
    </row>
    <row r="24" spans="1:11" s="35" customFormat="1" x14ac:dyDescent="0.25">
      <c r="A24" s="85"/>
      <c r="B24" s="7" t="s">
        <v>18</v>
      </c>
      <c r="C24" s="5" t="s">
        <v>19</v>
      </c>
      <c r="D24" s="5" t="s">
        <v>20</v>
      </c>
      <c r="E24" s="16" t="s">
        <v>34</v>
      </c>
      <c r="F24" s="6">
        <v>2.99</v>
      </c>
      <c r="G24" s="6">
        <v>60</v>
      </c>
      <c r="H24" s="6">
        <v>7.0000000000000007E-2</v>
      </c>
      <c r="I24" s="6">
        <v>0.02</v>
      </c>
      <c r="J24" s="8">
        <v>15</v>
      </c>
      <c r="K24"/>
    </row>
    <row r="25" spans="1:11" s="35" customFormat="1" ht="15.75" thickBot="1" x14ac:dyDescent="0.3">
      <c r="A25" s="85"/>
      <c r="B25" s="9" t="s">
        <v>38</v>
      </c>
      <c r="C25" s="10" t="s">
        <v>39</v>
      </c>
      <c r="D25" s="10" t="s">
        <v>51</v>
      </c>
      <c r="E25" s="17">
        <v>70</v>
      </c>
      <c r="F25" s="18">
        <v>11.34</v>
      </c>
      <c r="G25" s="36">
        <f>96*0.7</f>
        <v>67.199999999999989</v>
      </c>
      <c r="H25" s="36">
        <f>1.5*0.7</f>
        <v>1.0499999999999998</v>
      </c>
      <c r="I25" s="36">
        <f>0.5*0.7</f>
        <v>0.35</v>
      </c>
      <c r="J25" s="37">
        <f>21*0.7</f>
        <v>14.7</v>
      </c>
      <c r="K25"/>
    </row>
    <row r="26" spans="1:11" s="35" customFormat="1" ht="16.5" thickBot="1" x14ac:dyDescent="0.3">
      <c r="A26" s="86" t="s">
        <v>15</v>
      </c>
      <c r="B26" s="68"/>
      <c r="C26" s="68"/>
      <c r="D26" s="68"/>
      <c r="E26" s="72"/>
      <c r="F26" s="19">
        <f>SUM(F23:F25)</f>
        <v>42.290000000000006</v>
      </c>
      <c r="G26" s="19">
        <f>SUM(G23:G25)</f>
        <v>265.74</v>
      </c>
      <c r="H26" s="19">
        <f>SUM(H23:H25)</f>
        <v>7.1239999999999997</v>
      </c>
      <c r="I26" s="19">
        <f>SUM(I23:I25)</f>
        <v>8.6649999999999991</v>
      </c>
      <c r="J26" s="19">
        <f>SUM(J23:J25)</f>
        <v>39.399000000000001</v>
      </c>
      <c r="K26"/>
    </row>
    <row r="27" spans="1:11" x14ac:dyDescent="0.25">
      <c r="A27" s="73" t="s">
        <v>48</v>
      </c>
      <c r="B27" s="20" t="s">
        <v>13</v>
      </c>
      <c r="C27" s="21" t="s">
        <v>54</v>
      </c>
      <c r="D27" s="21" t="s">
        <v>55</v>
      </c>
      <c r="E27" s="13">
        <v>60</v>
      </c>
      <c r="F27" s="14">
        <v>40.46</v>
      </c>
      <c r="G27" s="57">
        <f>261*0.6</f>
        <v>156.6</v>
      </c>
      <c r="H27" s="57">
        <f>11*0.6</f>
        <v>6.6</v>
      </c>
      <c r="I27" s="57">
        <f>23.9*0.6</f>
        <v>14.339999999999998</v>
      </c>
      <c r="J27" s="58">
        <f>0.4*0.6</f>
        <v>0.24</v>
      </c>
    </row>
    <row r="28" spans="1:11" x14ac:dyDescent="0.25">
      <c r="A28" s="73"/>
      <c r="B28" s="7" t="s">
        <v>17</v>
      </c>
      <c r="C28" s="5" t="s">
        <v>45</v>
      </c>
      <c r="D28" s="5" t="s">
        <v>46</v>
      </c>
      <c r="E28" s="16">
        <v>130</v>
      </c>
      <c r="F28" s="6">
        <v>12.94</v>
      </c>
      <c r="G28" s="6">
        <f>1398*0.13</f>
        <v>181.74</v>
      </c>
      <c r="H28" s="6">
        <f>24.34*0.13</f>
        <v>3.1642000000000001</v>
      </c>
      <c r="I28" s="6">
        <f>35.83*0.13</f>
        <v>4.6578999999999997</v>
      </c>
      <c r="J28" s="8">
        <f>244.56*0.13</f>
        <v>31.7928</v>
      </c>
    </row>
    <row r="29" spans="1:11" x14ac:dyDescent="0.25">
      <c r="A29" s="73"/>
      <c r="B29" s="7" t="s">
        <v>18</v>
      </c>
      <c r="C29" s="5" t="s">
        <v>67</v>
      </c>
      <c r="D29" s="5" t="s">
        <v>68</v>
      </c>
      <c r="E29" s="16">
        <v>200</v>
      </c>
      <c r="F29" s="6">
        <v>18.36</v>
      </c>
      <c r="G29" s="6">
        <v>136</v>
      </c>
      <c r="H29" s="6">
        <v>3.64</v>
      </c>
      <c r="I29" s="6">
        <v>3.35</v>
      </c>
      <c r="J29" s="8">
        <v>22.82</v>
      </c>
    </row>
    <row r="30" spans="1:11" x14ac:dyDescent="0.25">
      <c r="A30" s="73"/>
      <c r="B30" s="7" t="s">
        <v>21</v>
      </c>
      <c r="C30" s="5" t="s">
        <v>60</v>
      </c>
      <c r="D30" s="5" t="s">
        <v>61</v>
      </c>
      <c r="E30" s="16">
        <v>50</v>
      </c>
      <c r="F30" s="6">
        <v>4.21</v>
      </c>
      <c r="G30" s="6">
        <v>159</v>
      </c>
      <c r="H30" s="6">
        <v>3.64</v>
      </c>
      <c r="I30" s="6">
        <v>6.26</v>
      </c>
      <c r="J30" s="8">
        <v>21.96</v>
      </c>
    </row>
    <row r="31" spans="1:11" ht="15.75" thickBot="1" x14ac:dyDescent="0.3">
      <c r="A31" s="73"/>
      <c r="B31" s="9" t="s">
        <v>14</v>
      </c>
      <c r="C31" s="10" t="s">
        <v>32</v>
      </c>
      <c r="D31" s="10" t="s">
        <v>33</v>
      </c>
      <c r="E31" s="17">
        <v>26.5</v>
      </c>
      <c r="F31" s="18">
        <v>1.03</v>
      </c>
      <c r="G31" s="18">
        <f>229.7*0.265</f>
        <v>60.8705</v>
      </c>
      <c r="H31" s="11">
        <f>6.7*0.265</f>
        <v>1.7755000000000001</v>
      </c>
      <c r="I31" s="11">
        <f>1.1*0.265</f>
        <v>0.29150000000000004</v>
      </c>
      <c r="J31" s="12">
        <f>48.3*0.265</f>
        <v>12.7995</v>
      </c>
    </row>
    <row r="32" spans="1:11" ht="16.5" thickBot="1" x14ac:dyDescent="0.3">
      <c r="A32" s="74" t="s">
        <v>15</v>
      </c>
      <c r="B32" s="68"/>
      <c r="C32" s="68"/>
      <c r="D32" s="68"/>
      <c r="E32" s="72"/>
      <c r="F32" s="19">
        <f>SUM(F27:F31)</f>
        <v>76.999999999999986</v>
      </c>
      <c r="G32" s="19">
        <f>SUM(G27:G31)</f>
        <v>694.21050000000002</v>
      </c>
      <c r="H32" s="19">
        <f>SUM(H27:H31)</f>
        <v>18.819700000000001</v>
      </c>
      <c r="I32" s="19">
        <f>SUM(I27:I31)</f>
        <v>28.8994</v>
      </c>
      <c r="J32" s="19">
        <f>SUM(J27:J31)</f>
        <v>89.612300000000005</v>
      </c>
    </row>
    <row r="33" spans="1:10" ht="17.25" customHeight="1" x14ac:dyDescent="0.25">
      <c r="A33" s="75" t="s">
        <v>35</v>
      </c>
      <c r="B33" s="41" t="s">
        <v>31</v>
      </c>
      <c r="C33" s="39" t="s">
        <v>56</v>
      </c>
      <c r="D33" s="39" t="s">
        <v>57</v>
      </c>
      <c r="E33" s="13">
        <v>12</v>
      </c>
      <c r="F33" s="14">
        <v>7.67</v>
      </c>
      <c r="G33" s="14">
        <f>736*0.012</f>
        <v>8.8320000000000007</v>
      </c>
      <c r="H33" s="14">
        <f>20.55*0.012</f>
        <v>0.24660000000000001</v>
      </c>
      <c r="I33" s="14">
        <f>29.1*0.012</f>
        <v>0.34920000000000001</v>
      </c>
      <c r="J33" s="15">
        <f>97.89*0.012</f>
        <v>1.1746799999999999</v>
      </c>
    </row>
    <row r="34" spans="1:10" s="50" customFormat="1" x14ac:dyDescent="0.25">
      <c r="A34" s="76"/>
      <c r="B34" s="7" t="s">
        <v>17</v>
      </c>
      <c r="C34" s="5" t="s">
        <v>45</v>
      </c>
      <c r="D34" s="5" t="s">
        <v>46</v>
      </c>
      <c r="E34" s="16">
        <v>150</v>
      </c>
      <c r="F34" s="6">
        <v>14.93</v>
      </c>
      <c r="G34" s="6">
        <f>1398*0.15</f>
        <v>209.7</v>
      </c>
      <c r="H34" s="6">
        <f>24.34*0.15</f>
        <v>3.6509999999999998</v>
      </c>
      <c r="I34" s="6">
        <f>35.83*0.15</f>
        <v>5.3744999999999994</v>
      </c>
      <c r="J34" s="8">
        <f>244.56*0.15</f>
        <v>36.683999999999997</v>
      </c>
    </row>
    <row r="35" spans="1:10" x14ac:dyDescent="0.25">
      <c r="A35" s="76"/>
      <c r="B35" s="7" t="s">
        <v>18</v>
      </c>
      <c r="C35" s="5" t="s">
        <v>19</v>
      </c>
      <c r="D35" s="5" t="s">
        <v>20</v>
      </c>
      <c r="E35" s="16" t="s">
        <v>34</v>
      </c>
      <c r="F35" s="6">
        <v>2.99</v>
      </c>
      <c r="G35" s="6">
        <v>60</v>
      </c>
      <c r="H35" s="6">
        <v>7.0000000000000007E-2</v>
      </c>
      <c r="I35" s="6">
        <v>0.02</v>
      </c>
      <c r="J35" s="8">
        <v>15</v>
      </c>
    </row>
    <row r="36" spans="1:10" ht="15.75" thickBot="1" x14ac:dyDescent="0.3">
      <c r="A36" s="77"/>
      <c r="B36" s="9" t="s">
        <v>14</v>
      </c>
      <c r="C36" s="10" t="s">
        <v>32</v>
      </c>
      <c r="D36" s="10" t="s">
        <v>33</v>
      </c>
      <c r="E36" s="17">
        <v>36.5</v>
      </c>
      <c r="F36" s="18">
        <v>1.41</v>
      </c>
      <c r="G36" s="18">
        <f>229.7*0.365</f>
        <v>83.840499999999992</v>
      </c>
      <c r="H36" s="11">
        <f>6.7*0.365</f>
        <v>2.4455</v>
      </c>
      <c r="I36" s="11">
        <f>1.1*0.365</f>
        <v>0.40150000000000002</v>
      </c>
      <c r="J36" s="12">
        <f>48.3*0.365</f>
        <v>17.6295</v>
      </c>
    </row>
    <row r="37" spans="1:10" ht="16.5" thickBot="1" x14ac:dyDescent="0.3">
      <c r="A37" s="78" t="s">
        <v>15</v>
      </c>
      <c r="B37" s="68"/>
      <c r="C37" s="68"/>
      <c r="D37" s="68"/>
      <c r="E37" s="72"/>
      <c r="F37" s="19">
        <f>SUM(F33:F36)</f>
        <v>27.000000000000004</v>
      </c>
      <c r="G37" s="19">
        <f>SUM(G33:G36)</f>
        <v>362.37249999999995</v>
      </c>
      <c r="H37" s="19">
        <f>SUM(H33:H36)</f>
        <v>6.4131</v>
      </c>
      <c r="I37" s="19">
        <f>SUM(I33:I36)</f>
        <v>6.1451999999999991</v>
      </c>
      <c r="J37" s="19">
        <f>SUM(J33:J36)</f>
        <v>70.48818</v>
      </c>
    </row>
    <row r="38" spans="1:10" ht="46.5" customHeight="1" x14ac:dyDescent="0.25">
      <c r="A38" s="79" t="s">
        <v>36</v>
      </c>
      <c r="B38" s="20" t="s">
        <v>31</v>
      </c>
      <c r="C38" s="21" t="s">
        <v>58</v>
      </c>
      <c r="D38" s="21" t="s">
        <v>59</v>
      </c>
      <c r="E38" s="13" t="s">
        <v>69</v>
      </c>
      <c r="F38" s="14">
        <v>4.01</v>
      </c>
      <c r="G38" s="14">
        <f>250*0.2+229.7*0.3</f>
        <v>118.91</v>
      </c>
      <c r="H38" s="14">
        <f>0.4*0.2+6.7*0.3</f>
        <v>2.09</v>
      </c>
      <c r="I38" s="14">
        <f>0+1.1*0.3</f>
        <v>0.33</v>
      </c>
      <c r="J38" s="15">
        <f>65*0.2+48.3*0.3</f>
        <v>27.49</v>
      </c>
    </row>
    <row r="39" spans="1:10" ht="15.75" thickBot="1" x14ac:dyDescent="0.3">
      <c r="A39" s="80"/>
      <c r="B39" s="9" t="s">
        <v>18</v>
      </c>
      <c r="C39" s="10" t="s">
        <v>19</v>
      </c>
      <c r="D39" s="10" t="s">
        <v>20</v>
      </c>
      <c r="E39" s="17" t="s">
        <v>34</v>
      </c>
      <c r="F39" s="18">
        <v>2.99</v>
      </c>
      <c r="G39" s="18">
        <v>60</v>
      </c>
      <c r="H39" s="18">
        <v>7.0000000000000007E-2</v>
      </c>
      <c r="I39" s="18">
        <v>0.02</v>
      </c>
      <c r="J39" s="26">
        <v>15</v>
      </c>
    </row>
    <row r="40" spans="1:10" ht="16.5" thickBot="1" x14ac:dyDescent="0.3">
      <c r="A40" s="67" t="s">
        <v>15</v>
      </c>
      <c r="B40" s="81"/>
      <c r="C40" s="81"/>
      <c r="D40" s="81"/>
      <c r="E40" s="82"/>
      <c r="F40" s="19">
        <f>SUM(F38:F39)</f>
        <v>7</v>
      </c>
      <c r="G40" s="19">
        <f>SUM(G38:G39)</f>
        <v>178.91</v>
      </c>
      <c r="H40" s="19">
        <f t="shared" ref="H40:J40" si="2">SUM(H38:H39)</f>
        <v>2.1599999999999997</v>
      </c>
      <c r="I40" s="19">
        <f t="shared" si="2"/>
        <v>0.35000000000000003</v>
      </c>
      <c r="J40" s="19">
        <f t="shared" si="2"/>
        <v>42.489999999999995</v>
      </c>
    </row>
    <row r="41" spans="1:10" x14ac:dyDescent="0.25">
      <c r="A41" s="70" t="s">
        <v>37</v>
      </c>
      <c r="B41" s="20" t="s">
        <v>16</v>
      </c>
      <c r="C41" s="21" t="s">
        <v>47</v>
      </c>
      <c r="D41" s="21" t="s">
        <v>52</v>
      </c>
      <c r="E41" s="13" t="s">
        <v>53</v>
      </c>
      <c r="F41" s="14">
        <v>7.98</v>
      </c>
      <c r="G41" s="14">
        <f>148.25+22*0</f>
        <v>148.25</v>
      </c>
      <c r="H41" s="14">
        <f>5.49+1.68*0</f>
        <v>5.49</v>
      </c>
      <c r="I41" s="14">
        <f>5.27+1.7*0</f>
        <v>5.27</v>
      </c>
      <c r="J41" s="15">
        <f>16.54+0.02*0</f>
        <v>16.54</v>
      </c>
    </row>
    <row r="42" spans="1:10" x14ac:dyDescent="0.25">
      <c r="A42" s="70"/>
      <c r="B42" s="7" t="s">
        <v>13</v>
      </c>
      <c r="C42" s="52" t="s">
        <v>62</v>
      </c>
      <c r="D42" s="53" t="s">
        <v>63</v>
      </c>
      <c r="E42" s="16">
        <v>40</v>
      </c>
      <c r="F42" s="6">
        <v>18.07</v>
      </c>
      <c r="G42" s="54">
        <f>197.7/75*40</f>
        <v>105.43999999999998</v>
      </c>
      <c r="H42" s="55">
        <f>8.9/75*40</f>
        <v>4.746666666666667</v>
      </c>
      <c r="I42" s="55">
        <f>12.4/75*40</f>
        <v>6.6133333333333333</v>
      </c>
      <c r="J42" s="56">
        <f>12.6/75*40</f>
        <v>6.7199999999999989</v>
      </c>
    </row>
    <row r="43" spans="1:10" x14ac:dyDescent="0.25">
      <c r="A43" s="70"/>
      <c r="B43" s="7" t="s">
        <v>17</v>
      </c>
      <c r="C43" s="5" t="s">
        <v>45</v>
      </c>
      <c r="D43" s="5" t="s">
        <v>46</v>
      </c>
      <c r="E43" s="16">
        <v>150</v>
      </c>
      <c r="F43" s="6">
        <v>14.93</v>
      </c>
      <c r="G43" s="6">
        <f>1398*0.15</f>
        <v>209.7</v>
      </c>
      <c r="H43" s="6">
        <f>24.34*0.15</f>
        <v>3.6509999999999998</v>
      </c>
      <c r="I43" s="6">
        <f>35.83*0.15</f>
        <v>5.3744999999999994</v>
      </c>
      <c r="J43" s="8">
        <f>244.56*0.15</f>
        <v>36.683999999999997</v>
      </c>
    </row>
    <row r="44" spans="1:10" x14ac:dyDescent="0.25">
      <c r="A44" s="70"/>
      <c r="B44" s="7" t="s">
        <v>18</v>
      </c>
      <c r="C44" s="5" t="s">
        <v>19</v>
      </c>
      <c r="D44" s="5" t="s">
        <v>20</v>
      </c>
      <c r="E44" s="16" t="s">
        <v>34</v>
      </c>
      <c r="F44" s="6">
        <v>2.99</v>
      </c>
      <c r="G44" s="6">
        <v>60</v>
      </c>
      <c r="H44" s="6">
        <v>7.0000000000000007E-2</v>
      </c>
      <c r="I44" s="6">
        <v>0.02</v>
      </c>
      <c r="J44" s="8">
        <v>15</v>
      </c>
    </row>
    <row r="45" spans="1:10" ht="15.75" thickBot="1" x14ac:dyDescent="0.3">
      <c r="A45" s="70"/>
      <c r="B45" s="9" t="s">
        <v>14</v>
      </c>
      <c r="C45" s="10" t="s">
        <v>32</v>
      </c>
      <c r="D45" s="10" t="s">
        <v>33</v>
      </c>
      <c r="E45" s="17">
        <v>27.5</v>
      </c>
      <c r="F45" s="18">
        <v>1.03</v>
      </c>
      <c r="G45" s="18">
        <f>229.7*0.275</f>
        <v>63.167500000000004</v>
      </c>
      <c r="H45" s="11">
        <f>6.7*0.275</f>
        <v>1.8425000000000002</v>
      </c>
      <c r="I45" s="11">
        <f>1.1*0.275</f>
        <v>0.30250000000000005</v>
      </c>
      <c r="J45" s="12">
        <f>48.3*0.275</f>
        <v>13.282500000000001</v>
      </c>
    </row>
    <row r="46" spans="1:10" ht="16.5" thickBot="1" x14ac:dyDescent="0.3">
      <c r="A46" s="67" t="s">
        <v>15</v>
      </c>
      <c r="B46" s="68"/>
      <c r="C46" s="68"/>
      <c r="D46" s="68"/>
      <c r="E46" s="72"/>
      <c r="F46" s="19">
        <f>SUM(F41:F45)</f>
        <v>45.000000000000007</v>
      </c>
      <c r="G46" s="19">
        <f>SUM(G41:G45)</f>
        <v>586.5575</v>
      </c>
      <c r="H46" s="19">
        <f>SUM(H41:H45)</f>
        <v>15.800166666666669</v>
      </c>
      <c r="I46" s="19">
        <f>SUM(I41:I45)</f>
        <v>17.580333333333328</v>
      </c>
      <c r="J46" s="19">
        <f>SUM(J41:J45)</f>
        <v>88.226499999999987</v>
      </c>
    </row>
    <row r="47" spans="1:10" x14ac:dyDescent="0.25">
      <c r="A47" s="70" t="s">
        <v>49</v>
      </c>
      <c r="B47" s="20" t="s">
        <v>16</v>
      </c>
      <c r="C47" s="21" t="s">
        <v>47</v>
      </c>
      <c r="D47" s="21" t="s">
        <v>52</v>
      </c>
      <c r="E47" s="13" t="s">
        <v>53</v>
      </c>
      <c r="F47" s="14">
        <v>7.98</v>
      </c>
      <c r="G47" s="14">
        <f>148.25+22*0</f>
        <v>148.25</v>
      </c>
      <c r="H47" s="14">
        <f>5.49+1.68*0</f>
        <v>5.49</v>
      </c>
      <c r="I47" s="14">
        <f>5.27+1.7*0</f>
        <v>5.27</v>
      </c>
      <c r="J47" s="15">
        <f>16.54+0.02*0</f>
        <v>16.54</v>
      </c>
    </row>
    <row r="48" spans="1:10" x14ac:dyDescent="0.25">
      <c r="A48" s="70"/>
      <c r="B48" s="7" t="s">
        <v>13</v>
      </c>
      <c r="C48" s="52" t="s">
        <v>62</v>
      </c>
      <c r="D48" s="53" t="s">
        <v>63</v>
      </c>
      <c r="E48" s="16">
        <v>80</v>
      </c>
      <c r="F48" s="6">
        <v>36.14</v>
      </c>
      <c r="G48" s="54">
        <f>197.7/75*80</f>
        <v>210.87999999999997</v>
      </c>
      <c r="H48" s="55">
        <f>8.9/75*80</f>
        <v>9.4933333333333341</v>
      </c>
      <c r="I48" s="55">
        <f>12.4/75*80</f>
        <v>13.226666666666667</v>
      </c>
      <c r="J48" s="56">
        <f>12.6/75*80</f>
        <v>13.439999999999998</v>
      </c>
    </row>
    <row r="49" spans="1:10" s="51" customFormat="1" x14ac:dyDescent="0.25">
      <c r="A49" s="70"/>
      <c r="B49" s="7" t="s">
        <v>17</v>
      </c>
      <c r="C49" s="5" t="s">
        <v>45</v>
      </c>
      <c r="D49" s="5" t="s">
        <v>46</v>
      </c>
      <c r="E49" s="16">
        <v>130</v>
      </c>
      <c r="F49" s="6">
        <v>12.94</v>
      </c>
      <c r="G49" s="6">
        <f>1398*0.13</f>
        <v>181.74</v>
      </c>
      <c r="H49" s="6">
        <f>24.34*0.13</f>
        <v>3.1642000000000001</v>
      </c>
      <c r="I49" s="6">
        <f>35.83*0.13</f>
        <v>4.6578999999999997</v>
      </c>
      <c r="J49" s="8">
        <f>244.56*0.13</f>
        <v>31.7928</v>
      </c>
    </row>
    <row r="50" spans="1:10" x14ac:dyDescent="0.25">
      <c r="A50" s="70"/>
      <c r="B50" s="7" t="s">
        <v>18</v>
      </c>
      <c r="C50" s="5" t="s">
        <v>19</v>
      </c>
      <c r="D50" s="5" t="s">
        <v>20</v>
      </c>
      <c r="E50" s="16" t="s">
        <v>34</v>
      </c>
      <c r="F50" s="6">
        <v>2.99</v>
      </c>
      <c r="G50" s="6">
        <v>60</v>
      </c>
      <c r="H50" s="6">
        <v>7.0000000000000007E-2</v>
      </c>
      <c r="I50" s="6">
        <v>0.02</v>
      </c>
      <c r="J50" s="8">
        <v>15</v>
      </c>
    </row>
    <row r="51" spans="1:10" x14ac:dyDescent="0.25">
      <c r="A51" s="70"/>
      <c r="B51" s="7" t="s">
        <v>14</v>
      </c>
      <c r="C51" s="5" t="s">
        <v>32</v>
      </c>
      <c r="D51" s="5" t="s">
        <v>33</v>
      </c>
      <c r="E51" s="16">
        <v>33.5</v>
      </c>
      <c r="F51" s="6">
        <v>1.26</v>
      </c>
      <c r="G51" s="6">
        <f>229.7*0.335</f>
        <v>76.9495</v>
      </c>
      <c r="H51" s="48">
        <f>6.7*0.335</f>
        <v>2.2445000000000004</v>
      </c>
      <c r="I51" s="48">
        <f>1.1*0.335</f>
        <v>0.36850000000000005</v>
      </c>
      <c r="J51" s="49">
        <f>48.3*0.335</f>
        <v>16.180499999999999</v>
      </c>
    </row>
    <row r="52" spans="1:10" ht="15.75" thickBot="1" x14ac:dyDescent="0.3">
      <c r="A52" s="70"/>
      <c r="B52" s="9" t="s">
        <v>38</v>
      </c>
      <c r="C52" s="10" t="s">
        <v>39</v>
      </c>
      <c r="D52" s="10" t="s">
        <v>66</v>
      </c>
      <c r="E52" s="17">
        <v>130</v>
      </c>
      <c r="F52" s="18">
        <v>15.69</v>
      </c>
      <c r="G52" s="18">
        <f>47*1.3</f>
        <v>61.1</v>
      </c>
      <c r="H52" s="11">
        <f>0.4*1.3</f>
        <v>0.52</v>
      </c>
      <c r="I52" s="11">
        <f>0.4*1.3</f>
        <v>0.52</v>
      </c>
      <c r="J52" s="12">
        <f>9.8*1.3</f>
        <v>12.740000000000002</v>
      </c>
    </row>
    <row r="53" spans="1:10" ht="16.5" thickBot="1" x14ac:dyDescent="0.3">
      <c r="A53" s="67" t="s">
        <v>15</v>
      </c>
      <c r="B53" s="88"/>
      <c r="C53" s="88"/>
      <c r="D53" s="88"/>
      <c r="E53" s="89"/>
      <c r="F53" s="42">
        <f>SUM(F47:F52)</f>
        <v>77</v>
      </c>
      <c r="G53" s="42">
        <f>SUM(G47:G52)</f>
        <v>738.91950000000008</v>
      </c>
      <c r="H53" s="42">
        <f>SUM(H47:H52)</f>
        <v>20.982033333333337</v>
      </c>
      <c r="I53" s="42">
        <f>SUM(I47:I52)</f>
        <v>24.063066666666668</v>
      </c>
      <c r="J53" s="42">
        <f>SUM(J47:J52)</f>
        <v>105.69329999999999</v>
      </c>
    </row>
    <row r="55" spans="1:10" ht="15.75" thickBot="1" x14ac:dyDescent="0.3">
      <c r="A55" s="65" t="s">
        <v>25</v>
      </c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5.75" x14ac:dyDescent="0.25">
      <c r="A56" s="22"/>
      <c r="B56" s="22"/>
      <c r="C56" s="64" t="s">
        <v>23</v>
      </c>
      <c r="D56" s="64"/>
      <c r="G56" s="66"/>
      <c r="H56" s="66"/>
      <c r="I56" s="66"/>
      <c r="J56" s="66"/>
    </row>
    <row r="57" spans="1:10" x14ac:dyDescent="0.25">
      <c r="A57" s="1"/>
      <c r="B57" s="1"/>
      <c r="C57" s="1"/>
      <c r="D57" s="1"/>
    </row>
    <row r="58" spans="1:10" x14ac:dyDescent="0.25">
      <c r="A58" s="83" t="s">
        <v>24</v>
      </c>
      <c r="B58" s="83"/>
    </row>
    <row r="59" spans="1:10" x14ac:dyDescent="0.25">
      <c r="A59" s="83" t="s">
        <v>26</v>
      </c>
      <c r="B59" s="83"/>
    </row>
    <row r="60" spans="1:10" x14ac:dyDescent="0.25">
      <c r="A60" s="3"/>
    </row>
  </sheetData>
  <mergeCells count="25">
    <mergeCell ref="A58:B58"/>
    <mergeCell ref="A59:B59"/>
    <mergeCell ref="A3:A7"/>
    <mergeCell ref="A23:A25"/>
    <mergeCell ref="A26:E26"/>
    <mergeCell ref="A15:A21"/>
    <mergeCell ref="A46:E46"/>
    <mergeCell ref="A47:A52"/>
    <mergeCell ref="A53:E53"/>
    <mergeCell ref="B1:C1"/>
    <mergeCell ref="G1:J1"/>
    <mergeCell ref="C56:D56"/>
    <mergeCell ref="A55:J55"/>
    <mergeCell ref="G56:J56"/>
    <mergeCell ref="A8:E8"/>
    <mergeCell ref="A9:A13"/>
    <mergeCell ref="A14:E14"/>
    <mergeCell ref="A22:E22"/>
    <mergeCell ref="A27:A31"/>
    <mergeCell ref="A32:E32"/>
    <mergeCell ref="A33:A36"/>
    <mergeCell ref="A37:E37"/>
    <mergeCell ref="A38:A39"/>
    <mergeCell ref="A40:E40"/>
    <mergeCell ref="A41:A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2023-03-10T10:23:02Z</dcterms:modified>
</cp:coreProperties>
</file>