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H53" i="1"/>
  <c r="G53" i="1"/>
  <c r="J46" i="1" l="1"/>
  <c r="I46" i="1"/>
  <c r="H46" i="1"/>
  <c r="G46" i="1"/>
  <c r="J35" i="1"/>
  <c r="I35" i="1"/>
  <c r="H35" i="1"/>
  <c r="G35" i="1"/>
  <c r="J37" i="1"/>
  <c r="I37" i="1"/>
  <c r="H37" i="1"/>
  <c r="G37" i="1"/>
  <c r="J29" i="1" l="1"/>
  <c r="I29" i="1"/>
  <c r="H29" i="1"/>
  <c r="G29" i="1"/>
  <c r="J33" i="1"/>
  <c r="I33" i="1"/>
  <c r="H33" i="1"/>
  <c r="G33" i="1"/>
  <c r="I28" i="1"/>
  <c r="H28" i="1"/>
  <c r="G28" i="1"/>
  <c r="J28" i="1"/>
  <c r="J31" i="1" l="1"/>
  <c r="I31" i="1"/>
  <c r="H31" i="1"/>
  <c r="G31" i="1"/>
  <c r="J30" i="1"/>
  <c r="I30" i="1"/>
  <c r="H30" i="1"/>
  <c r="G30" i="1"/>
  <c r="J22" i="1"/>
  <c r="I22" i="1"/>
  <c r="H22" i="1"/>
  <c r="G22" i="1"/>
  <c r="J19" i="1"/>
  <c r="I19" i="1"/>
  <c r="H19" i="1"/>
  <c r="G19" i="1"/>
  <c r="J16" i="1"/>
  <c r="I16" i="1"/>
  <c r="H16" i="1"/>
  <c r="G16" i="1"/>
  <c r="J14" i="1"/>
  <c r="I14" i="1"/>
  <c r="H14" i="1"/>
  <c r="G14" i="1"/>
  <c r="J8" i="1" l="1"/>
  <c r="I8" i="1"/>
  <c r="H8" i="1"/>
  <c r="G8" i="1"/>
  <c r="J6" i="1"/>
  <c r="I6" i="1"/>
  <c r="H6" i="1"/>
  <c r="G6" i="1"/>
  <c r="J39" i="1" l="1"/>
  <c r="I39" i="1"/>
  <c r="H39" i="1"/>
  <c r="G39" i="1"/>
  <c r="J26" i="1" l="1"/>
  <c r="I26" i="1"/>
  <c r="H26" i="1"/>
  <c r="G26" i="1"/>
  <c r="J17" i="1" l="1"/>
  <c r="I17" i="1"/>
  <c r="H17" i="1"/>
  <c r="G17" i="1"/>
  <c r="J50" i="1" l="1"/>
  <c r="I50" i="1"/>
  <c r="H50" i="1"/>
  <c r="G50" i="1"/>
  <c r="J49" i="1"/>
  <c r="I49" i="1"/>
  <c r="H49" i="1"/>
  <c r="G49" i="1"/>
  <c r="J48" i="1"/>
  <c r="I48" i="1"/>
  <c r="H48" i="1"/>
  <c r="G48" i="1"/>
  <c r="J44" i="1"/>
  <c r="I44" i="1"/>
  <c r="H44" i="1"/>
  <c r="G44" i="1"/>
  <c r="J43" i="1"/>
  <c r="I43" i="1"/>
  <c r="H43" i="1"/>
  <c r="G43" i="1"/>
  <c r="J42" i="1"/>
  <c r="I42" i="1"/>
  <c r="H42" i="1"/>
  <c r="G42" i="1"/>
  <c r="G24" i="1" l="1"/>
  <c r="J21" i="1"/>
  <c r="I21" i="1"/>
  <c r="H21" i="1"/>
  <c r="G21" i="1"/>
  <c r="J18" i="1"/>
  <c r="I18" i="1"/>
  <c r="H18" i="1"/>
  <c r="G18" i="1"/>
  <c r="J11" i="1"/>
  <c r="I11" i="1"/>
  <c r="H11" i="1"/>
  <c r="G11" i="1"/>
  <c r="F9" i="1" l="1"/>
  <c r="J5" i="1" l="1"/>
  <c r="I5" i="1"/>
  <c r="H5" i="1"/>
  <c r="G5" i="1"/>
  <c r="J4" i="1" l="1"/>
  <c r="I4" i="1"/>
  <c r="H4" i="1"/>
  <c r="G4" i="1"/>
  <c r="F54" i="1" l="1"/>
  <c r="I24" i="1" l="1"/>
  <c r="H24" i="1"/>
  <c r="F23" i="1"/>
  <c r="J12" i="1" l="1"/>
  <c r="I12" i="1"/>
  <c r="H12" i="1"/>
  <c r="G12" i="1"/>
  <c r="J54" i="1" l="1"/>
  <c r="I54" i="1"/>
  <c r="H54" i="1"/>
  <c r="G54" i="1"/>
  <c r="F47" i="1"/>
  <c r="J47" i="1"/>
  <c r="I47" i="1"/>
  <c r="H47" i="1"/>
  <c r="G47" i="1"/>
  <c r="F41" i="1"/>
  <c r="J41" i="1"/>
  <c r="I41" i="1"/>
  <c r="H41" i="1"/>
  <c r="G41" i="1"/>
  <c r="F38" i="1"/>
  <c r="J38" i="1"/>
  <c r="I38" i="1"/>
  <c r="H38" i="1"/>
  <c r="G38" i="1"/>
  <c r="F34" i="1"/>
  <c r="J34" i="1"/>
  <c r="I34" i="1"/>
  <c r="H34" i="1"/>
  <c r="G34" i="1"/>
  <c r="J3" i="1" l="1"/>
  <c r="J9" i="1" s="1"/>
  <c r="I3" i="1"/>
  <c r="I9" i="1" s="1"/>
  <c r="H3" i="1"/>
  <c r="H9" i="1" s="1"/>
  <c r="G3" i="1"/>
  <c r="G9" i="1" s="1"/>
  <c r="J24" i="1"/>
  <c r="F15" i="1" l="1"/>
  <c r="J23" i="1" l="1"/>
  <c r="I23" i="1"/>
  <c r="H23" i="1"/>
  <c r="G23" i="1"/>
  <c r="J10" i="1" l="1"/>
  <c r="J15" i="1" s="1"/>
  <c r="I10" i="1"/>
  <c r="I15" i="1" s="1"/>
  <c r="H10" i="1"/>
  <c r="H15" i="1" s="1"/>
  <c r="G10" i="1"/>
  <c r="G15" i="1" s="1"/>
  <c r="F27" i="1"/>
  <c r="J27" i="1"/>
  <c r="I27" i="1"/>
  <c r="H27" i="1"/>
  <c r="G27" i="1"/>
</calcChain>
</file>

<file path=xl/sharedStrings.xml><?xml version="1.0" encoding="utf-8"?>
<sst xmlns="http://schemas.openxmlformats.org/spreadsheetml/2006/main" count="183" uniqueCount="73">
  <si>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</si>
  <si>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</si>
  <si>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</si>
  <si>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</si>
  <si>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</si>
  <si>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</si>
  <si>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</si>
  <si>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</si>
  <si>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</si>
  <si>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</si>
  <si>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</si>
  <si>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</si>
  <si>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</si>
  <si>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</si>
  <si>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</si>
  <si>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</si>
  <si>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</si>
  <si>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</si>
  <si>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</si>
  <si>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</si>
  <si>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</si>
  <si>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</si>
  <si>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</si>
  <si>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</si>
  <si>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</si>
  <si>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</si>
  <si>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</si>
  <si>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</si>
  <si>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</si>
  <si>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</si>
  <si>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</si>
  <si>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</si>
  <si>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</si>
  <si>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</si>
  <si>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</si>
  <si>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</si>
  <si>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</si>
  <si>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</si>
  <si>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Кондитерское изделие</t>
  </si>
  <si>
    <t>№88-2015г.</t>
  </si>
  <si>
    <t>Щи из свежей капусты с картофелем со сметаной и зеленью</t>
  </si>
  <si>
    <t>250/10/2</t>
  </si>
  <si>
    <t>ТТК №50</t>
  </si>
  <si>
    <t>Бутерброд с красной рыбой сл/с</t>
  </si>
  <si>
    <t>ТТК №54</t>
  </si>
  <si>
    <t>ТТК №13</t>
  </si>
  <si>
    <t>Картофель тушёный по-домашнему</t>
  </si>
  <si>
    <t>Блинчик с джемом</t>
  </si>
  <si>
    <t>15/25</t>
  </si>
  <si>
    <t>Завтрак 5-11 кл с доплатой 70,00 руб. и льготники с доплатой 50,00 руб.; ДМГ 77,00 1 смена</t>
  </si>
  <si>
    <t>Обед 6-7 кл. с доплатой 70,00 руб. и льготники с доплатой 50,00 руб.; ДМГ 77,00 2-я смена</t>
  </si>
  <si>
    <t>10/20</t>
  </si>
  <si>
    <t>№71-2015г.</t>
  </si>
  <si>
    <t>Овощи натуральные свежие (огурцы)</t>
  </si>
  <si>
    <t>ТТК №5</t>
  </si>
  <si>
    <t>№268-2015г.</t>
  </si>
  <si>
    <t>Котлета из свинины</t>
  </si>
  <si>
    <t>ТТК №18</t>
  </si>
  <si>
    <t>Филе цыплёнка запечённое</t>
  </si>
  <si>
    <t>ПР</t>
  </si>
  <si>
    <t>Пряник</t>
  </si>
  <si>
    <t>№2-2015г.</t>
  </si>
  <si>
    <t>Бутерброд с повидлом</t>
  </si>
  <si>
    <t>20/27,5</t>
  </si>
  <si>
    <t>№309-2015г.</t>
  </si>
  <si>
    <t>Макароны отварные</t>
  </si>
  <si>
    <t>№209-2015г.</t>
  </si>
  <si>
    <t>Яйцо варёное</t>
  </si>
  <si>
    <t>№45-2015г.</t>
  </si>
  <si>
    <t>Бутерброд с сыром</t>
  </si>
  <si>
    <t>20/25</t>
  </si>
  <si>
    <t>Макароны отварные с сыром</t>
  </si>
  <si>
    <t>150/8,5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</si>
</sst>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2" fontId="6" fillId="0" borderId="2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6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2" fontId="5" fillId="0" borderId="1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2" fontId="6" fillId="0" borderId="30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2" fontId="6" fillId="0" borderId="24" xfId="0" applyNumberFormat="1" applyFont="1" applyBorder="1" applyAlignment="1">
      <alignment vertical="center" wrapText="1"/>
    </xf>
    <xf numFmtId="2" fontId="6" fillId="0" borderId="38" xfId="0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10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14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25" xfId="0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/>
    <xf numFmtId="0" fontId="5" fillId="0" borderId="0" xfId="0" applyFont="1"/>
    <xf numFmtId="0" fontId="7" fillId="0" borderId="0" xfId="0" applyFont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5" fillId="0" borderId="0" xfId="0" applyFont="1"/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6" fillId="0" borderId="31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36" xfId="0" applyFont="1" applyBorder="1" applyAlignment="1">
      <alignment vertical="center" wrapText="1"/>
    </xf>
    <xf numFmtId="2" fontId="9" fillId="0" borderId="9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4 2" xfId="6"/>
    <cellStyle name="Обычный 2 5" xfId="5"/>
    <cellStyle name="Обычный 2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40" workbookViewId="0">
      <selection activeCell="J54" sqref="J54"/>
    </sheetView>
  </sheetViews>
  <sheetFormatPr defaultRowHeight="15" x14ac:dyDescent="0.25"/>
  <cols>
    <col min="1" max="1" width="20.140625" style="56" customWidth="1"/>
    <col min="2" max="2" width="25.14062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4.140625" style="2" customWidth="1"/>
    <col min="8" max="8" width="7.140625" style="2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8" t="s">
        <v>22</v>
      </c>
      <c r="C1" s="79"/>
      <c r="D1" s="1" t="s">
        <v>1</v>
      </c>
      <c r="E1" s="25"/>
      <c r="F1" s="1" t="s">
        <v>2</v>
      </c>
      <c r="G1" s="80">
        <v>45013</v>
      </c>
      <c r="H1" s="81"/>
      <c r="I1" s="81"/>
      <c r="J1" s="82"/>
      <c r="K1" s="1"/>
      <c r="L1" s="1"/>
    </row>
    <row r="2" spans="1:12" ht="15.75" thickBot="1" x14ac:dyDescent="0.3">
      <c r="A2" s="55" t="s">
        <v>3</v>
      </c>
      <c r="B2" s="4" t="s">
        <v>4</v>
      </c>
      <c r="C2" s="29" t="s">
        <v>5</v>
      </c>
      <c r="D2" s="31" t="s">
        <v>6</v>
      </c>
      <c r="E2" s="31" t="s">
        <v>7</v>
      </c>
      <c r="F2" s="31" t="s">
        <v>8</v>
      </c>
      <c r="G2" s="4" t="s">
        <v>9</v>
      </c>
      <c r="H2" s="4" t="s">
        <v>10</v>
      </c>
      <c r="I2" s="4" t="s">
        <v>11</v>
      </c>
      <c r="J2" s="30" t="s">
        <v>12</v>
      </c>
    </row>
    <row r="3" spans="1:12" s="39" customFormat="1" ht="15.75" x14ac:dyDescent="0.25">
      <c r="A3" s="86" t="s">
        <v>27</v>
      </c>
      <c r="B3" s="49" t="s">
        <v>31</v>
      </c>
      <c r="C3" s="50" t="s">
        <v>44</v>
      </c>
      <c r="D3" s="50" t="s">
        <v>43</v>
      </c>
      <c r="E3" s="51" t="s">
        <v>48</v>
      </c>
      <c r="F3" s="14">
        <v>46.3</v>
      </c>
      <c r="G3" s="14">
        <f>202*0.15+229.7*0.25</f>
        <v>87.724999999999994</v>
      </c>
      <c r="H3" s="14">
        <f>22.5*0.15+6.7*0.25</f>
        <v>5.05</v>
      </c>
      <c r="I3" s="14">
        <f>12.5*0.15+1.1*0.25</f>
        <v>2.15</v>
      </c>
      <c r="J3" s="15">
        <f>0+48.3*0.25</f>
        <v>12.074999999999999</v>
      </c>
    </row>
    <row r="4" spans="1:12" s="48" customFormat="1" ht="15.75" customHeight="1" x14ac:dyDescent="0.25">
      <c r="A4" s="87"/>
      <c r="B4" s="7" t="s">
        <v>31</v>
      </c>
      <c r="C4" s="5" t="s">
        <v>52</v>
      </c>
      <c r="D4" s="5" t="s">
        <v>53</v>
      </c>
      <c r="E4" s="16">
        <v>10</v>
      </c>
      <c r="F4" s="6">
        <v>2.4700000000000002</v>
      </c>
      <c r="G4" s="6">
        <f>6*0.2</f>
        <v>1.2000000000000002</v>
      </c>
      <c r="H4" s="6">
        <f>0.35*0.2</f>
        <v>6.9999999999999993E-2</v>
      </c>
      <c r="I4" s="6">
        <f>0.05*0.2</f>
        <v>1.0000000000000002E-2</v>
      </c>
      <c r="J4" s="8">
        <f>0.95*0.2</f>
        <v>0.19</v>
      </c>
    </row>
    <row r="5" spans="1:12" x14ac:dyDescent="0.25">
      <c r="A5" s="87"/>
      <c r="B5" s="7" t="s">
        <v>13</v>
      </c>
      <c r="C5" s="5" t="s">
        <v>55</v>
      </c>
      <c r="D5" s="5" t="s">
        <v>56</v>
      </c>
      <c r="E5" s="16">
        <v>75</v>
      </c>
      <c r="F5" s="6">
        <v>31.08</v>
      </c>
      <c r="G5" s="23">
        <f>273/75*75</f>
        <v>273</v>
      </c>
      <c r="H5" s="23">
        <f>10.11/75*75</f>
        <v>10.11</v>
      </c>
      <c r="I5" s="23">
        <f>20.87/75*75</f>
        <v>20.87</v>
      </c>
      <c r="J5" s="24">
        <f>10.64/75*75</f>
        <v>10.64</v>
      </c>
    </row>
    <row r="6" spans="1:12" s="33" customFormat="1" x14ac:dyDescent="0.25">
      <c r="A6" s="87"/>
      <c r="B6" s="7" t="s">
        <v>17</v>
      </c>
      <c r="C6" s="5" t="s">
        <v>64</v>
      </c>
      <c r="D6" s="5" t="s">
        <v>65</v>
      </c>
      <c r="E6" s="16">
        <v>150</v>
      </c>
      <c r="F6" s="6">
        <v>13.82</v>
      </c>
      <c r="G6" s="42">
        <f>112.3*1.5</f>
        <v>168.45</v>
      </c>
      <c r="H6" s="42">
        <f>3.68*1.5</f>
        <v>5.5200000000000005</v>
      </c>
      <c r="I6" s="42">
        <f>3.01*1.5</f>
        <v>4.5149999999999997</v>
      </c>
      <c r="J6" s="43">
        <f>17.63*1.5</f>
        <v>26.445</v>
      </c>
    </row>
    <row r="7" spans="1:12" s="26" customFormat="1" x14ac:dyDescent="0.25">
      <c r="A7" s="87"/>
      <c r="B7" s="7" t="s">
        <v>18</v>
      </c>
      <c r="C7" s="5" t="s">
        <v>19</v>
      </c>
      <c r="D7" s="5" t="s">
        <v>20</v>
      </c>
      <c r="E7" s="16" t="s">
        <v>34</v>
      </c>
      <c r="F7" s="6">
        <v>3.07</v>
      </c>
      <c r="G7" s="6">
        <v>60</v>
      </c>
      <c r="H7" s="6">
        <v>7.0000000000000007E-2</v>
      </c>
      <c r="I7" s="6">
        <v>0.02</v>
      </c>
      <c r="J7" s="8">
        <v>15</v>
      </c>
      <c r="K7"/>
    </row>
    <row r="8" spans="1:12" s="32" customFormat="1" ht="15.75" thickBot="1" x14ac:dyDescent="0.3">
      <c r="A8" s="88"/>
      <c r="B8" s="9" t="s">
        <v>14</v>
      </c>
      <c r="C8" s="10" t="s">
        <v>32</v>
      </c>
      <c r="D8" s="10" t="s">
        <v>33</v>
      </c>
      <c r="E8" s="17">
        <v>11</v>
      </c>
      <c r="F8" s="18">
        <v>0.41</v>
      </c>
      <c r="G8" s="18">
        <f>229.7*0.11</f>
        <v>25.266999999999999</v>
      </c>
      <c r="H8" s="11">
        <f>6.7*0.11</f>
        <v>0.73699999999999999</v>
      </c>
      <c r="I8" s="11">
        <f>1.1*0.11</f>
        <v>0.12100000000000001</v>
      </c>
      <c r="J8" s="12">
        <f>48.3*0.11</f>
        <v>5.3129999999999997</v>
      </c>
    </row>
    <row r="9" spans="1:12" ht="16.5" thickBot="1" x14ac:dyDescent="0.3">
      <c r="A9" s="60" t="s">
        <v>15</v>
      </c>
      <c r="B9" s="73"/>
      <c r="C9" s="73"/>
      <c r="D9" s="73"/>
      <c r="E9" s="83"/>
      <c r="F9" s="41">
        <f>SUM(F3:F8)</f>
        <v>97.149999999999977</v>
      </c>
      <c r="G9" s="41">
        <f t="shared" ref="G9:J9" si="0">SUM(G3:G8)</f>
        <v>615.64200000000005</v>
      </c>
      <c r="H9" s="41">
        <f t="shared" si="0"/>
        <v>21.556999999999999</v>
      </c>
      <c r="I9" s="41">
        <f t="shared" si="0"/>
        <v>27.686</v>
      </c>
      <c r="J9" s="41">
        <f t="shared" si="0"/>
        <v>69.662999999999997</v>
      </c>
    </row>
    <row r="10" spans="1:12" ht="30" x14ac:dyDescent="0.25">
      <c r="A10" s="63" t="s">
        <v>28</v>
      </c>
      <c r="B10" s="20" t="s">
        <v>16</v>
      </c>
      <c r="C10" s="21" t="s">
        <v>39</v>
      </c>
      <c r="D10" s="21" t="s">
        <v>40</v>
      </c>
      <c r="E10" s="13" t="s">
        <v>41</v>
      </c>
      <c r="F10" s="14">
        <v>12.53</v>
      </c>
      <c r="G10" s="14">
        <f>359*0.25+162*0.1</f>
        <v>105.95</v>
      </c>
      <c r="H10" s="14">
        <f>7.06*0.25+2.6*0.1</f>
        <v>2.0249999999999999</v>
      </c>
      <c r="I10" s="14">
        <f>19.8*0.25+15*0.1</f>
        <v>6.45</v>
      </c>
      <c r="J10" s="15">
        <f>31.61*0.25+3.6*0.1</f>
        <v>8.2624999999999993</v>
      </c>
      <c r="K10"/>
    </row>
    <row r="11" spans="1:12" x14ac:dyDescent="0.25">
      <c r="A11" s="63"/>
      <c r="B11" s="7" t="s">
        <v>13</v>
      </c>
      <c r="C11" s="5" t="s">
        <v>57</v>
      </c>
      <c r="D11" s="5" t="s">
        <v>58</v>
      </c>
      <c r="E11" s="16">
        <v>18</v>
      </c>
      <c r="F11" s="6">
        <v>13.76</v>
      </c>
      <c r="G11" s="23">
        <f>129.15/50*18</f>
        <v>46.494</v>
      </c>
      <c r="H11" s="23">
        <f>17.2/50*18</f>
        <v>6.1919999999999993</v>
      </c>
      <c r="I11" s="23">
        <f>3.8/50*18</f>
        <v>1.3679999999999999</v>
      </c>
      <c r="J11" s="24">
        <f>6.6/50*18</f>
        <v>2.3760000000000003</v>
      </c>
      <c r="K11"/>
    </row>
    <row r="12" spans="1:12" s="36" customFormat="1" x14ac:dyDescent="0.25">
      <c r="A12" s="63"/>
      <c r="B12" s="7" t="s">
        <v>17</v>
      </c>
      <c r="C12" s="5" t="s">
        <v>45</v>
      </c>
      <c r="D12" s="5" t="s">
        <v>46</v>
      </c>
      <c r="E12" s="16">
        <v>100</v>
      </c>
      <c r="F12" s="6">
        <v>11.95</v>
      </c>
      <c r="G12" s="42">
        <f>89.4*1</f>
        <v>89.4</v>
      </c>
      <c r="H12" s="42">
        <f>1.7*1</f>
        <v>1.7</v>
      </c>
      <c r="I12" s="42">
        <f>3.5*1</f>
        <v>3.5</v>
      </c>
      <c r="J12" s="43">
        <f>12.8*1</f>
        <v>12.8</v>
      </c>
      <c r="K12"/>
    </row>
    <row r="13" spans="1:12" s="26" customFormat="1" x14ac:dyDescent="0.25">
      <c r="A13" s="63"/>
      <c r="B13" s="7" t="s">
        <v>18</v>
      </c>
      <c r="C13" s="5" t="s">
        <v>19</v>
      </c>
      <c r="D13" s="5" t="s">
        <v>20</v>
      </c>
      <c r="E13" s="16" t="s">
        <v>34</v>
      </c>
      <c r="F13" s="6">
        <v>3.07</v>
      </c>
      <c r="G13" s="6">
        <v>60</v>
      </c>
      <c r="H13" s="6">
        <v>7.0000000000000007E-2</v>
      </c>
      <c r="I13" s="6">
        <v>0.02</v>
      </c>
      <c r="J13" s="8">
        <v>15</v>
      </c>
    </row>
    <row r="14" spans="1:12" ht="15.75" thickBot="1" x14ac:dyDescent="0.3">
      <c r="A14" s="63"/>
      <c r="B14" s="9" t="s">
        <v>14</v>
      </c>
      <c r="C14" s="10" t="s">
        <v>32</v>
      </c>
      <c r="D14" s="10" t="s">
        <v>33</v>
      </c>
      <c r="E14" s="17">
        <v>26</v>
      </c>
      <c r="F14" s="18">
        <v>0.98</v>
      </c>
      <c r="G14" s="18">
        <f>229.7*0.26</f>
        <v>59.722000000000001</v>
      </c>
      <c r="H14" s="11">
        <f>6.7*0.26</f>
        <v>1.7420000000000002</v>
      </c>
      <c r="I14" s="11">
        <f>1.1*0.26</f>
        <v>0.28600000000000003</v>
      </c>
      <c r="J14" s="12">
        <f>48.3*0.26</f>
        <v>12.558</v>
      </c>
    </row>
    <row r="15" spans="1:12" ht="16.5" thickBot="1" x14ac:dyDescent="0.3">
      <c r="A15" s="84" t="s">
        <v>15</v>
      </c>
      <c r="B15" s="73"/>
      <c r="C15" s="73"/>
      <c r="D15" s="73"/>
      <c r="E15" s="74"/>
      <c r="F15" s="19">
        <f>SUM(F10:F14)</f>
        <v>42.289999999999992</v>
      </c>
      <c r="G15" s="19">
        <f t="shared" ref="G15:J15" si="1">SUM(G10:G14)</f>
        <v>361.56600000000003</v>
      </c>
      <c r="H15" s="19">
        <f t="shared" si="1"/>
        <v>11.728999999999999</v>
      </c>
      <c r="I15" s="19">
        <f t="shared" si="1"/>
        <v>11.623999999999999</v>
      </c>
      <c r="J15" s="19">
        <f t="shared" si="1"/>
        <v>50.996500000000005</v>
      </c>
    </row>
    <row r="16" spans="1:12" s="37" customFormat="1" x14ac:dyDescent="0.25">
      <c r="A16" s="75" t="s">
        <v>29</v>
      </c>
      <c r="B16" s="20" t="s">
        <v>31</v>
      </c>
      <c r="C16" s="21" t="s">
        <v>66</v>
      </c>
      <c r="D16" s="21" t="s">
        <v>67</v>
      </c>
      <c r="E16" s="13">
        <v>20</v>
      </c>
      <c r="F16" s="14">
        <v>6.35</v>
      </c>
      <c r="G16" s="14">
        <f>63*0.5</f>
        <v>31.5</v>
      </c>
      <c r="H16" s="14">
        <f>5.08*0.5</f>
        <v>2.54</v>
      </c>
      <c r="I16" s="14">
        <f>4.6*0.5</f>
        <v>2.2999999999999998</v>
      </c>
      <c r="J16" s="15">
        <f>0.28*0.5</f>
        <v>0.14000000000000001</v>
      </c>
    </row>
    <row r="17" spans="1:11" s="57" customFormat="1" ht="30" x14ac:dyDescent="0.25">
      <c r="A17" s="95"/>
      <c r="B17" s="7" t="s">
        <v>16</v>
      </c>
      <c r="C17" s="5" t="s">
        <v>39</v>
      </c>
      <c r="D17" s="5" t="s">
        <v>40</v>
      </c>
      <c r="E17" s="16" t="s">
        <v>41</v>
      </c>
      <c r="F17" s="6">
        <v>12.53</v>
      </c>
      <c r="G17" s="6">
        <f>359*0.25+162*0.1</f>
        <v>105.95</v>
      </c>
      <c r="H17" s="6">
        <f>7.06*0.25+2.6*0.1</f>
        <v>2.0249999999999999</v>
      </c>
      <c r="I17" s="6">
        <f>19.8*0.25+15*0.1</f>
        <v>6.45</v>
      </c>
      <c r="J17" s="8">
        <f>31.61*0.25+3.6*0.1</f>
        <v>8.2624999999999993</v>
      </c>
    </row>
    <row r="18" spans="1:11" s="52" customFormat="1" x14ac:dyDescent="0.25">
      <c r="A18" s="95"/>
      <c r="B18" s="7" t="s">
        <v>13</v>
      </c>
      <c r="C18" s="5" t="s">
        <v>57</v>
      </c>
      <c r="D18" s="5" t="s">
        <v>58</v>
      </c>
      <c r="E18" s="16">
        <v>50</v>
      </c>
      <c r="F18" s="6">
        <v>38.22</v>
      </c>
      <c r="G18" s="23">
        <f>129.15*1</f>
        <v>129.15</v>
      </c>
      <c r="H18" s="23">
        <f>17.2*1</f>
        <v>17.2</v>
      </c>
      <c r="I18" s="23">
        <f>3.8*1</f>
        <v>3.8</v>
      </c>
      <c r="J18" s="24">
        <f>6.6*1</f>
        <v>6.6</v>
      </c>
    </row>
    <row r="19" spans="1:11" s="40" customFormat="1" x14ac:dyDescent="0.25">
      <c r="A19" s="95"/>
      <c r="B19" s="7" t="s">
        <v>17</v>
      </c>
      <c r="C19" s="5" t="s">
        <v>45</v>
      </c>
      <c r="D19" s="5" t="s">
        <v>46</v>
      </c>
      <c r="E19" s="16">
        <v>120</v>
      </c>
      <c r="F19" s="6">
        <v>14.34</v>
      </c>
      <c r="G19" s="42">
        <f>89.4*1.2</f>
        <v>107.28</v>
      </c>
      <c r="H19" s="42">
        <f>1.7*1.2</f>
        <v>2.04</v>
      </c>
      <c r="I19" s="42">
        <f>3.5*1.2</f>
        <v>4.2</v>
      </c>
      <c r="J19" s="43">
        <f>12.8*1.2</f>
        <v>15.36</v>
      </c>
    </row>
    <row r="20" spans="1:11" s="36" customFormat="1" x14ac:dyDescent="0.25">
      <c r="A20" s="95"/>
      <c r="B20" s="7" t="s">
        <v>18</v>
      </c>
      <c r="C20" s="5" t="s">
        <v>19</v>
      </c>
      <c r="D20" s="5" t="s">
        <v>20</v>
      </c>
      <c r="E20" s="16" t="s">
        <v>34</v>
      </c>
      <c r="F20" s="6">
        <v>3.07</v>
      </c>
      <c r="G20" s="6">
        <v>60</v>
      </c>
      <c r="H20" s="6">
        <v>7.0000000000000007E-2</v>
      </c>
      <c r="I20" s="6">
        <v>0.02</v>
      </c>
      <c r="J20" s="8">
        <v>15</v>
      </c>
      <c r="K20"/>
    </row>
    <row r="21" spans="1:11" s="37" customFormat="1" ht="15.75" x14ac:dyDescent="0.25">
      <c r="A21" s="95"/>
      <c r="B21" s="7" t="s">
        <v>21</v>
      </c>
      <c r="C21" s="34" t="s">
        <v>42</v>
      </c>
      <c r="D21" s="44" t="s">
        <v>47</v>
      </c>
      <c r="E21" s="16">
        <v>50</v>
      </c>
      <c r="F21" s="6">
        <v>21.59</v>
      </c>
      <c r="G21" s="35">
        <f>192.8/90*50</f>
        <v>107.11111111111111</v>
      </c>
      <c r="H21" s="23">
        <f>2.9/9*5</f>
        <v>1.6111111111111109</v>
      </c>
      <c r="I21" s="23">
        <f>7.6/9*5</f>
        <v>4.2222222222222223</v>
      </c>
      <c r="J21" s="24">
        <f>28.3/9*5</f>
        <v>15.722222222222221</v>
      </c>
      <c r="K21"/>
    </row>
    <row r="22" spans="1:11" s="38" customFormat="1" ht="15.75" thickBot="1" x14ac:dyDescent="0.3">
      <c r="A22" s="95"/>
      <c r="B22" s="9" t="s">
        <v>14</v>
      </c>
      <c r="C22" s="10" t="s">
        <v>54</v>
      </c>
      <c r="D22" s="10" t="s">
        <v>33</v>
      </c>
      <c r="E22" s="17">
        <v>28</v>
      </c>
      <c r="F22" s="18">
        <v>1.05</v>
      </c>
      <c r="G22" s="18">
        <f>229.7*0.28</f>
        <v>64.316000000000003</v>
      </c>
      <c r="H22" s="11">
        <f>6.7*0.28</f>
        <v>1.8760000000000003</v>
      </c>
      <c r="I22" s="11">
        <f>1.1*0.28</f>
        <v>0.30800000000000005</v>
      </c>
      <c r="J22" s="12">
        <f>48.3*0.28</f>
        <v>13.524000000000001</v>
      </c>
      <c r="K22"/>
    </row>
    <row r="23" spans="1:11" s="27" customFormat="1" ht="16.5" thickBot="1" x14ac:dyDescent="0.3">
      <c r="A23" s="60" t="s">
        <v>15</v>
      </c>
      <c r="B23" s="73"/>
      <c r="C23" s="73"/>
      <c r="D23" s="73"/>
      <c r="E23" s="83"/>
      <c r="F23" s="19">
        <f>SUM(F16:F22)</f>
        <v>97.149999999999991</v>
      </c>
      <c r="G23" s="19">
        <f>SUM(G16:G22)</f>
        <v>605.30711111111111</v>
      </c>
      <c r="H23" s="19">
        <f>SUM(H16:H22)</f>
        <v>27.362111111111112</v>
      </c>
      <c r="I23" s="19">
        <f>SUM(I16:I22)</f>
        <v>21.300222222222221</v>
      </c>
      <c r="J23" s="19">
        <f>SUM(J16:J22)</f>
        <v>74.608722222222212</v>
      </c>
      <c r="K23"/>
    </row>
    <row r="24" spans="1:11" s="36" customFormat="1" ht="15.75" x14ac:dyDescent="0.25">
      <c r="A24" s="90" t="s">
        <v>30</v>
      </c>
      <c r="B24" s="49" t="s">
        <v>31</v>
      </c>
      <c r="C24" s="50" t="s">
        <v>44</v>
      </c>
      <c r="D24" s="50" t="s">
        <v>43</v>
      </c>
      <c r="E24" s="51" t="s">
        <v>51</v>
      </c>
      <c r="F24" s="14">
        <v>31.24</v>
      </c>
      <c r="G24" s="14">
        <f>202*0.1+229.7*0.2</f>
        <v>66.14</v>
      </c>
      <c r="H24" s="14">
        <f>22.5*0.1+6.7*0.2</f>
        <v>3.59</v>
      </c>
      <c r="I24" s="14">
        <f>12.5*0.1+1.1*0.2</f>
        <v>1.47</v>
      </c>
      <c r="J24" s="15">
        <f>0+48.3*0.25</f>
        <v>12.074999999999999</v>
      </c>
      <c r="K24"/>
    </row>
    <row r="25" spans="1:11" s="36" customFormat="1" x14ac:dyDescent="0.25">
      <c r="A25" s="91"/>
      <c r="B25" s="7" t="s">
        <v>18</v>
      </c>
      <c r="C25" s="5" t="s">
        <v>19</v>
      </c>
      <c r="D25" s="5" t="s">
        <v>20</v>
      </c>
      <c r="E25" s="16" t="s">
        <v>34</v>
      </c>
      <c r="F25" s="6">
        <v>3.07</v>
      </c>
      <c r="G25" s="6">
        <v>60</v>
      </c>
      <c r="H25" s="6">
        <v>7.0000000000000007E-2</v>
      </c>
      <c r="I25" s="6">
        <v>0.02</v>
      </c>
      <c r="J25" s="8">
        <v>15</v>
      </c>
      <c r="K25"/>
    </row>
    <row r="26" spans="1:11" s="36" customFormat="1" ht="15.75" thickBot="1" x14ac:dyDescent="0.3">
      <c r="A26" s="91"/>
      <c r="B26" s="9" t="s">
        <v>38</v>
      </c>
      <c r="C26" s="10" t="s">
        <v>59</v>
      </c>
      <c r="D26" s="10" t="s">
        <v>60</v>
      </c>
      <c r="E26" s="53">
        <v>34</v>
      </c>
      <c r="F26" s="18">
        <v>7.98</v>
      </c>
      <c r="G26" s="18">
        <f>350*0.34</f>
        <v>119.00000000000001</v>
      </c>
      <c r="H26" s="18">
        <f>5*0.34</f>
        <v>1.7000000000000002</v>
      </c>
      <c r="I26" s="18">
        <f>6*0.34</f>
        <v>2.04</v>
      </c>
      <c r="J26" s="28">
        <f>69*0.34</f>
        <v>23.46</v>
      </c>
      <c r="K26"/>
    </row>
    <row r="27" spans="1:11" s="36" customFormat="1" ht="16.5" thickBot="1" x14ac:dyDescent="0.3">
      <c r="A27" s="92" t="s">
        <v>15</v>
      </c>
      <c r="B27" s="93"/>
      <c r="C27" s="93"/>
      <c r="D27" s="93"/>
      <c r="E27" s="94"/>
      <c r="F27" s="3">
        <f>SUM(F24:F26)</f>
        <v>42.289999999999992</v>
      </c>
      <c r="G27" s="3">
        <f>SUM(G24:G26)</f>
        <v>245.14000000000001</v>
      </c>
      <c r="H27" s="3">
        <f>SUM(H24:H26)</f>
        <v>5.3599999999999994</v>
      </c>
      <c r="I27" s="3">
        <f>SUM(I24:I26)</f>
        <v>3.5300000000000002</v>
      </c>
      <c r="J27" s="3">
        <f>SUM(J24:J26)</f>
        <v>50.534999999999997</v>
      </c>
      <c r="K27"/>
    </row>
    <row r="28" spans="1:11" ht="17.25" customHeight="1" x14ac:dyDescent="0.25">
      <c r="A28" s="86" t="s">
        <v>49</v>
      </c>
      <c r="B28" s="20" t="s">
        <v>31</v>
      </c>
      <c r="C28" s="21" t="s">
        <v>68</v>
      </c>
      <c r="D28" s="21" t="s">
        <v>69</v>
      </c>
      <c r="E28" s="51" t="s">
        <v>70</v>
      </c>
      <c r="F28" s="14">
        <v>24.2</v>
      </c>
      <c r="G28" s="14">
        <f>364*0.2+66*0+280*0.25</f>
        <v>142.80000000000001</v>
      </c>
      <c r="H28" s="14">
        <f>23.2*0.2+0.08*0+8*0.25</f>
        <v>6.64</v>
      </c>
      <c r="I28" s="14">
        <f>29.5*0.2+7.25*0+3*0.25</f>
        <v>6.65</v>
      </c>
      <c r="J28" s="15">
        <f>0+0.13*0+54*0.25</f>
        <v>13.5</v>
      </c>
    </row>
    <row r="29" spans="1:11" x14ac:dyDescent="0.25">
      <c r="A29" s="87"/>
      <c r="B29" s="7" t="s">
        <v>31</v>
      </c>
      <c r="C29" s="5" t="s">
        <v>52</v>
      </c>
      <c r="D29" s="5" t="s">
        <v>53</v>
      </c>
      <c r="E29" s="16">
        <v>15</v>
      </c>
      <c r="F29" s="6">
        <v>3.78</v>
      </c>
      <c r="G29" s="6">
        <f>6*0.3</f>
        <v>1.7999999999999998</v>
      </c>
      <c r="H29" s="6">
        <f>0.35*0.3</f>
        <v>0.105</v>
      </c>
      <c r="I29" s="6">
        <f>0.05*0.3</f>
        <v>1.4999999999999999E-2</v>
      </c>
      <c r="J29" s="8">
        <f>0.95*0.3</f>
        <v>0.28499999999999998</v>
      </c>
    </row>
    <row r="30" spans="1:11" x14ac:dyDescent="0.25">
      <c r="A30" s="87"/>
      <c r="B30" s="7" t="s">
        <v>13</v>
      </c>
      <c r="C30" s="5" t="s">
        <v>55</v>
      </c>
      <c r="D30" s="5" t="s">
        <v>56</v>
      </c>
      <c r="E30" s="16">
        <v>75</v>
      </c>
      <c r="F30" s="6">
        <v>31.08</v>
      </c>
      <c r="G30" s="23">
        <f>273/75*75</f>
        <v>273</v>
      </c>
      <c r="H30" s="23">
        <f>10.11/75*75</f>
        <v>10.11</v>
      </c>
      <c r="I30" s="23">
        <f>20.87/75*75</f>
        <v>20.87</v>
      </c>
      <c r="J30" s="24">
        <f>10.64/75*75</f>
        <v>10.64</v>
      </c>
    </row>
    <row r="31" spans="1:11" s="58" customFormat="1" x14ac:dyDescent="0.25">
      <c r="A31" s="87"/>
      <c r="B31" s="7" t="s">
        <v>17</v>
      </c>
      <c r="C31" s="5" t="s">
        <v>64</v>
      </c>
      <c r="D31" s="5" t="s">
        <v>65</v>
      </c>
      <c r="E31" s="16">
        <v>150</v>
      </c>
      <c r="F31" s="6">
        <v>13.82</v>
      </c>
      <c r="G31" s="42">
        <f>112.3*1.5</f>
        <v>168.45</v>
      </c>
      <c r="H31" s="42">
        <f>3.68*1.5</f>
        <v>5.5200000000000005</v>
      </c>
      <c r="I31" s="42">
        <f>3.01*1.5</f>
        <v>4.5149999999999997</v>
      </c>
      <c r="J31" s="43">
        <f>17.63*1.5</f>
        <v>26.445</v>
      </c>
    </row>
    <row r="32" spans="1:11" x14ac:dyDescent="0.25">
      <c r="A32" s="87"/>
      <c r="B32" s="7" t="s">
        <v>18</v>
      </c>
      <c r="C32" s="5" t="s">
        <v>19</v>
      </c>
      <c r="D32" s="5" t="s">
        <v>20</v>
      </c>
      <c r="E32" s="16" t="s">
        <v>34</v>
      </c>
      <c r="F32" s="6">
        <v>3.07</v>
      </c>
      <c r="G32" s="6">
        <v>60</v>
      </c>
      <c r="H32" s="6">
        <v>7.0000000000000007E-2</v>
      </c>
      <c r="I32" s="6">
        <v>0.02</v>
      </c>
      <c r="J32" s="8">
        <v>15</v>
      </c>
    </row>
    <row r="33" spans="1:10" ht="15.75" thickBot="1" x14ac:dyDescent="0.3">
      <c r="A33" s="89"/>
      <c r="B33" s="9" t="s">
        <v>14</v>
      </c>
      <c r="C33" s="10" t="s">
        <v>32</v>
      </c>
      <c r="D33" s="10" t="s">
        <v>33</v>
      </c>
      <c r="E33" s="17">
        <v>28</v>
      </c>
      <c r="F33" s="18">
        <v>1.05</v>
      </c>
      <c r="G33" s="18">
        <f>229.7*0.28</f>
        <v>64.316000000000003</v>
      </c>
      <c r="H33" s="11">
        <f>6.7*0.28</f>
        <v>1.8760000000000003</v>
      </c>
      <c r="I33" s="11">
        <f>1.1*0.28</f>
        <v>0.30800000000000005</v>
      </c>
      <c r="J33" s="12">
        <f>48.3*0.28</f>
        <v>13.524000000000001</v>
      </c>
    </row>
    <row r="34" spans="1:10" ht="16.5" thickBot="1" x14ac:dyDescent="0.3">
      <c r="A34" s="85" t="s">
        <v>15</v>
      </c>
      <c r="B34" s="73"/>
      <c r="C34" s="73"/>
      <c r="D34" s="73"/>
      <c r="E34" s="74"/>
      <c r="F34" s="19">
        <f>SUM(F28:F33)</f>
        <v>76.999999999999986</v>
      </c>
      <c r="G34" s="19">
        <f>SUM(G28:G33)</f>
        <v>710.36599999999999</v>
      </c>
      <c r="H34" s="19">
        <f>SUM(H28:H33)</f>
        <v>24.321000000000002</v>
      </c>
      <c r="I34" s="19">
        <f>SUM(I28:I33)</f>
        <v>32.378</v>
      </c>
      <c r="J34" s="19">
        <f>SUM(J28:J33)</f>
        <v>79.394000000000005</v>
      </c>
    </row>
    <row r="35" spans="1:10" ht="15.75" customHeight="1" x14ac:dyDescent="0.25">
      <c r="A35" s="69" t="s">
        <v>35</v>
      </c>
      <c r="B35" s="20" t="s">
        <v>13</v>
      </c>
      <c r="C35" s="21" t="s">
        <v>64</v>
      </c>
      <c r="D35" s="21" t="s">
        <v>71</v>
      </c>
      <c r="E35" s="13" t="s">
        <v>72</v>
      </c>
      <c r="F35" s="14">
        <v>22.24</v>
      </c>
      <c r="G35" s="96">
        <f>1123*0.15+364*0.085</f>
        <v>199.39</v>
      </c>
      <c r="H35" s="96">
        <f>36.78*0.15+23.2*0.085</f>
        <v>7.4890000000000008</v>
      </c>
      <c r="I35" s="96">
        <f>30.1*0.15+29.5*0.085</f>
        <v>7.0225</v>
      </c>
      <c r="J35" s="97">
        <f>176.3*0.15</f>
        <v>26.445</v>
      </c>
    </row>
    <row r="36" spans="1:10" s="54" customFormat="1" x14ac:dyDescent="0.25">
      <c r="A36" s="70"/>
      <c r="B36" s="7" t="s">
        <v>18</v>
      </c>
      <c r="C36" s="5" t="s">
        <v>19</v>
      </c>
      <c r="D36" s="5" t="s">
        <v>20</v>
      </c>
      <c r="E36" s="16" t="s">
        <v>34</v>
      </c>
      <c r="F36" s="6">
        <v>3.04</v>
      </c>
      <c r="G36" s="6">
        <v>60</v>
      </c>
      <c r="H36" s="6">
        <v>7.0000000000000007E-2</v>
      </c>
      <c r="I36" s="6">
        <v>0.02</v>
      </c>
      <c r="J36" s="8">
        <v>15</v>
      </c>
    </row>
    <row r="37" spans="1:10" ht="15.75" thickBot="1" x14ac:dyDescent="0.3">
      <c r="A37" s="71"/>
      <c r="B37" s="9" t="s">
        <v>14</v>
      </c>
      <c r="C37" s="10" t="s">
        <v>32</v>
      </c>
      <c r="D37" s="10" t="s">
        <v>33</v>
      </c>
      <c r="E37" s="17">
        <v>45.5</v>
      </c>
      <c r="F37" s="18">
        <v>1.72</v>
      </c>
      <c r="G37" s="18">
        <f>229.7*0.455</f>
        <v>104.51349999999999</v>
      </c>
      <c r="H37" s="11">
        <f>6.7*0.455</f>
        <v>3.0485000000000002</v>
      </c>
      <c r="I37" s="11">
        <f>1.1*0.455</f>
        <v>0.50050000000000006</v>
      </c>
      <c r="J37" s="12">
        <f>48.3*0.455</f>
        <v>21.976499999999998</v>
      </c>
    </row>
    <row r="38" spans="1:10" ht="16.5" thickBot="1" x14ac:dyDescent="0.3">
      <c r="A38" s="72" t="s">
        <v>15</v>
      </c>
      <c r="B38" s="73"/>
      <c r="C38" s="73"/>
      <c r="D38" s="73"/>
      <c r="E38" s="74"/>
      <c r="F38" s="19">
        <f>SUM(F35:F37)</f>
        <v>26.999999999999996</v>
      </c>
      <c r="G38" s="19">
        <f>SUM(G35:G37)</f>
        <v>363.90350000000001</v>
      </c>
      <c r="H38" s="19">
        <f>SUM(H35:H37)</f>
        <v>10.607500000000002</v>
      </c>
      <c r="I38" s="19">
        <f>SUM(I35:I37)</f>
        <v>7.5429999999999993</v>
      </c>
      <c r="J38" s="19">
        <f>SUM(J35:J37)</f>
        <v>63.421499999999995</v>
      </c>
    </row>
    <row r="39" spans="1:10" ht="49.5" customHeight="1" x14ac:dyDescent="0.25">
      <c r="A39" s="75" t="s">
        <v>36</v>
      </c>
      <c r="B39" s="20" t="s">
        <v>31</v>
      </c>
      <c r="C39" s="21" t="s">
        <v>61</v>
      </c>
      <c r="D39" s="21" t="s">
        <v>62</v>
      </c>
      <c r="E39" s="13" t="s">
        <v>63</v>
      </c>
      <c r="F39" s="14">
        <v>3.93</v>
      </c>
      <c r="G39" s="14">
        <f>250*0.2+229.7*0.275</f>
        <v>113.1675</v>
      </c>
      <c r="H39" s="14">
        <f>0.4*0.2+6.7*0.275</f>
        <v>1.9225000000000003</v>
      </c>
      <c r="I39" s="14">
        <f>0+1.1*0.275</f>
        <v>0.30250000000000005</v>
      </c>
      <c r="J39" s="15">
        <f>65*0.2+48.3*0.275</f>
        <v>26.282499999999999</v>
      </c>
    </row>
    <row r="40" spans="1:10" ht="15.75" thickBot="1" x14ac:dyDescent="0.3">
      <c r="A40" s="76"/>
      <c r="B40" s="9" t="s">
        <v>18</v>
      </c>
      <c r="C40" s="10" t="s">
        <v>19</v>
      </c>
      <c r="D40" s="10" t="s">
        <v>20</v>
      </c>
      <c r="E40" s="17" t="s">
        <v>34</v>
      </c>
      <c r="F40" s="18">
        <v>3.07</v>
      </c>
      <c r="G40" s="18">
        <v>60</v>
      </c>
      <c r="H40" s="18">
        <v>7.0000000000000007E-2</v>
      </c>
      <c r="I40" s="18">
        <v>0.02</v>
      </c>
      <c r="J40" s="28">
        <v>15</v>
      </c>
    </row>
    <row r="41" spans="1:10" ht="16.5" thickBot="1" x14ac:dyDescent="0.3">
      <c r="A41" s="60" t="s">
        <v>15</v>
      </c>
      <c r="B41" s="61"/>
      <c r="C41" s="61"/>
      <c r="D41" s="61"/>
      <c r="E41" s="77"/>
      <c r="F41" s="19">
        <f>SUM(F39:F40)</f>
        <v>7</v>
      </c>
      <c r="G41" s="19">
        <f>SUM(G39:G40)</f>
        <v>173.16750000000002</v>
      </c>
      <c r="H41" s="19">
        <f t="shared" ref="H41:J41" si="2">SUM(H39:H40)</f>
        <v>1.9925000000000004</v>
      </c>
      <c r="I41" s="19">
        <f t="shared" si="2"/>
        <v>0.32250000000000006</v>
      </c>
      <c r="J41" s="19">
        <f t="shared" si="2"/>
        <v>41.282499999999999</v>
      </c>
    </row>
    <row r="42" spans="1:10" ht="30" x14ac:dyDescent="0.25">
      <c r="A42" s="63" t="s">
        <v>37</v>
      </c>
      <c r="B42" s="20" t="s">
        <v>16</v>
      </c>
      <c r="C42" s="21" t="s">
        <v>39</v>
      </c>
      <c r="D42" s="21" t="s">
        <v>40</v>
      </c>
      <c r="E42" s="13" t="s">
        <v>41</v>
      </c>
      <c r="F42" s="14">
        <v>12.53</v>
      </c>
      <c r="G42" s="14">
        <f>359*0.25+162*0.1</f>
        <v>105.95</v>
      </c>
      <c r="H42" s="14">
        <f>7.06*0.25+2.6*0.1</f>
        <v>2.0249999999999999</v>
      </c>
      <c r="I42" s="14">
        <f>19.8*0.25+15*0.1</f>
        <v>6.45</v>
      </c>
      <c r="J42" s="15">
        <f>31.61*0.25+3.6*0.1</f>
        <v>8.2624999999999993</v>
      </c>
    </row>
    <row r="43" spans="1:10" x14ac:dyDescent="0.25">
      <c r="A43" s="63"/>
      <c r="B43" s="7" t="s">
        <v>13</v>
      </c>
      <c r="C43" s="5" t="s">
        <v>57</v>
      </c>
      <c r="D43" s="5" t="s">
        <v>58</v>
      </c>
      <c r="E43" s="16">
        <v>20</v>
      </c>
      <c r="F43" s="6">
        <v>15.29</v>
      </c>
      <c r="G43" s="23">
        <f>129.15/50*20</f>
        <v>51.660000000000004</v>
      </c>
      <c r="H43" s="23">
        <f>17.2/50*20</f>
        <v>6.879999999999999</v>
      </c>
      <c r="I43" s="23">
        <f>3.8/50*20</f>
        <v>1.52</v>
      </c>
      <c r="J43" s="24">
        <f>6.6/50*20</f>
        <v>2.64</v>
      </c>
    </row>
    <row r="44" spans="1:10" x14ac:dyDescent="0.25">
      <c r="A44" s="63"/>
      <c r="B44" s="7" t="s">
        <v>17</v>
      </c>
      <c r="C44" s="5" t="s">
        <v>45</v>
      </c>
      <c r="D44" s="5" t="s">
        <v>46</v>
      </c>
      <c r="E44" s="16">
        <v>110</v>
      </c>
      <c r="F44" s="6">
        <v>13.14</v>
      </c>
      <c r="G44" s="42">
        <f>89.4*1.1</f>
        <v>98.340000000000018</v>
      </c>
      <c r="H44" s="42">
        <f>1.7*1.1</f>
        <v>1.87</v>
      </c>
      <c r="I44" s="42">
        <f>3.5*1.1</f>
        <v>3.8500000000000005</v>
      </c>
      <c r="J44" s="43">
        <f>12.8*1.1</f>
        <v>14.080000000000002</v>
      </c>
    </row>
    <row r="45" spans="1:10" x14ac:dyDescent="0.25">
      <c r="A45" s="63"/>
      <c r="B45" s="7" t="s">
        <v>18</v>
      </c>
      <c r="C45" s="5" t="s">
        <v>19</v>
      </c>
      <c r="D45" s="5" t="s">
        <v>20</v>
      </c>
      <c r="E45" s="16" t="s">
        <v>34</v>
      </c>
      <c r="F45" s="6">
        <v>3.07</v>
      </c>
      <c r="G45" s="6">
        <v>60</v>
      </c>
      <c r="H45" s="6">
        <v>7.0000000000000007E-2</v>
      </c>
      <c r="I45" s="6">
        <v>0.02</v>
      </c>
      <c r="J45" s="8">
        <v>15</v>
      </c>
    </row>
    <row r="46" spans="1:10" ht="15.75" thickBot="1" x14ac:dyDescent="0.3">
      <c r="A46" s="63"/>
      <c r="B46" s="9" t="s">
        <v>14</v>
      </c>
      <c r="C46" s="10" t="s">
        <v>32</v>
      </c>
      <c r="D46" s="10" t="s">
        <v>33</v>
      </c>
      <c r="E46" s="17">
        <v>26</v>
      </c>
      <c r="F46" s="18">
        <v>0.97</v>
      </c>
      <c r="G46" s="18">
        <f>229.7*0.26</f>
        <v>59.722000000000001</v>
      </c>
      <c r="H46" s="11">
        <f>6.7*0.26</f>
        <v>1.7420000000000002</v>
      </c>
      <c r="I46" s="11">
        <f>1.1*0.26</f>
        <v>0.28600000000000003</v>
      </c>
      <c r="J46" s="12">
        <f>48.3*0.26</f>
        <v>12.558</v>
      </c>
    </row>
    <row r="47" spans="1:10" ht="16.5" thickBot="1" x14ac:dyDescent="0.3">
      <c r="A47" s="60" t="s">
        <v>15</v>
      </c>
      <c r="B47" s="61"/>
      <c r="C47" s="61"/>
      <c r="D47" s="61"/>
      <c r="E47" s="62"/>
      <c r="F47" s="45">
        <f>SUM(F42:F46)</f>
        <v>45</v>
      </c>
      <c r="G47" s="45">
        <f>SUM(G42:G46)</f>
        <v>375.67200000000003</v>
      </c>
      <c r="H47" s="45">
        <f>SUM(H42:H46)</f>
        <v>12.587</v>
      </c>
      <c r="I47" s="45">
        <f>SUM(I42:I46)</f>
        <v>12.125999999999999</v>
      </c>
      <c r="J47" s="45">
        <f>SUM(J42:J46)</f>
        <v>52.540500000000002</v>
      </c>
    </row>
    <row r="48" spans="1:10" ht="30" x14ac:dyDescent="0.25">
      <c r="A48" s="63" t="s">
        <v>50</v>
      </c>
      <c r="B48" s="20" t="s">
        <v>16</v>
      </c>
      <c r="C48" s="21" t="s">
        <v>39</v>
      </c>
      <c r="D48" s="21" t="s">
        <v>40</v>
      </c>
      <c r="E48" s="13" t="s">
        <v>41</v>
      </c>
      <c r="F48" s="14">
        <v>12.53</v>
      </c>
      <c r="G48" s="14">
        <f>359*0.25+162*0.1</f>
        <v>105.95</v>
      </c>
      <c r="H48" s="14">
        <f>7.06*0.25+2.6*0.1</f>
        <v>2.0249999999999999</v>
      </c>
      <c r="I48" s="14">
        <f>19.8*0.25+15*0.1</f>
        <v>6.45</v>
      </c>
      <c r="J48" s="15">
        <f>31.61*0.25+3.6*0.1</f>
        <v>8.2624999999999993</v>
      </c>
    </row>
    <row r="49" spans="1:10" x14ac:dyDescent="0.25">
      <c r="A49" s="63"/>
      <c r="B49" s="7" t="s">
        <v>13</v>
      </c>
      <c r="C49" s="5" t="s">
        <v>57</v>
      </c>
      <c r="D49" s="5" t="s">
        <v>58</v>
      </c>
      <c r="E49" s="16">
        <v>50</v>
      </c>
      <c r="F49" s="6">
        <v>38.22</v>
      </c>
      <c r="G49" s="23">
        <f>129.15*1</f>
        <v>129.15</v>
      </c>
      <c r="H49" s="23">
        <f>17.2*1</f>
        <v>17.2</v>
      </c>
      <c r="I49" s="23">
        <f>3.8*1</f>
        <v>3.8</v>
      </c>
      <c r="J49" s="24">
        <f>6.6*1</f>
        <v>6.6</v>
      </c>
    </row>
    <row r="50" spans="1:10" x14ac:dyDescent="0.25">
      <c r="A50" s="63"/>
      <c r="B50" s="7" t="s">
        <v>17</v>
      </c>
      <c r="C50" s="5" t="s">
        <v>45</v>
      </c>
      <c r="D50" s="5" t="s">
        <v>46</v>
      </c>
      <c r="E50" s="16">
        <v>120</v>
      </c>
      <c r="F50" s="6">
        <v>14.34</v>
      </c>
      <c r="G50" s="42">
        <f>89.4*1.2</f>
        <v>107.28</v>
      </c>
      <c r="H50" s="42">
        <f>1.7*1.2</f>
        <v>2.04</v>
      </c>
      <c r="I50" s="42">
        <f>3.5*1.2</f>
        <v>4.2</v>
      </c>
      <c r="J50" s="43">
        <f>12.8*1.2</f>
        <v>15.36</v>
      </c>
    </row>
    <row r="51" spans="1:10" s="52" customFormat="1" x14ac:dyDescent="0.25">
      <c r="A51" s="63"/>
      <c r="B51" s="7" t="s">
        <v>18</v>
      </c>
      <c r="C51" s="5" t="s">
        <v>19</v>
      </c>
      <c r="D51" s="5" t="s">
        <v>20</v>
      </c>
      <c r="E51" s="16" t="s">
        <v>34</v>
      </c>
      <c r="F51" s="6">
        <v>3.07</v>
      </c>
      <c r="G51" s="6">
        <v>60</v>
      </c>
      <c r="H51" s="6">
        <v>7.0000000000000007E-2</v>
      </c>
      <c r="I51" s="6">
        <v>0.02</v>
      </c>
      <c r="J51" s="8">
        <v>15</v>
      </c>
    </row>
    <row r="52" spans="1:10" x14ac:dyDescent="0.25">
      <c r="A52" s="63"/>
      <c r="B52" s="7" t="s">
        <v>38</v>
      </c>
      <c r="C52" s="5" t="s">
        <v>59</v>
      </c>
      <c r="D52" s="5" t="s">
        <v>60</v>
      </c>
      <c r="E52" s="16">
        <v>35</v>
      </c>
      <c r="F52" s="6">
        <v>8.2799999999999994</v>
      </c>
      <c r="G52" s="6">
        <v>122.5</v>
      </c>
      <c r="H52" s="6">
        <v>1.75</v>
      </c>
      <c r="I52" s="6">
        <v>2.1</v>
      </c>
      <c r="J52" s="8">
        <v>24.15</v>
      </c>
    </row>
    <row r="53" spans="1:10" ht="15.75" thickBot="1" x14ac:dyDescent="0.3">
      <c r="A53" s="63"/>
      <c r="B53" s="9" t="s">
        <v>14</v>
      </c>
      <c r="C53" s="10" t="s">
        <v>32</v>
      </c>
      <c r="D53" s="10" t="s">
        <v>33</v>
      </c>
      <c r="E53" s="17">
        <v>15</v>
      </c>
      <c r="F53" s="18">
        <v>0.56000000000000005</v>
      </c>
      <c r="G53" s="18">
        <f>229.7*0.15</f>
        <v>34.454999999999998</v>
      </c>
      <c r="H53" s="11">
        <f>6.7*0.15</f>
        <v>1.0049999999999999</v>
      </c>
      <c r="I53" s="11">
        <f>1.1*0.15</f>
        <v>0.16500000000000001</v>
      </c>
      <c r="J53" s="12">
        <f>48.3*0.15</f>
        <v>7.2449999999999992</v>
      </c>
    </row>
    <row r="54" spans="1:10" ht="16.5" thickBot="1" x14ac:dyDescent="0.3">
      <c r="A54" s="60" t="s">
        <v>15</v>
      </c>
      <c r="B54" s="64"/>
      <c r="C54" s="64"/>
      <c r="D54" s="64"/>
      <c r="E54" s="65"/>
      <c r="F54" s="46">
        <f>SUM(F48:F53)</f>
        <v>77</v>
      </c>
      <c r="G54" s="46">
        <f>SUM(G48:G53)</f>
        <v>559.33500000000004</v>
      </c>
      <c r="H54" s="46">
        <f>SUM(H48:H53)</f>
        <v>24.089999999999996</v>
      </c>
      <c r="I54" s="46">
        <f>SUM(I48:I53)</f>
        <v>16.734999999999999</v>
      </c>
      <c r="J54" s="46">
        <f>SUM(J48:J53)</f>
        <v>76.617500000000007</v>
      </c>
    </row>
    <row r="55" spans="1:10" x14ac:dyDescent="0.25"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5.75" thickBot="1" x14ac:dyDescent="0.3">
      <c r="A56" s="66" t="s">
        <v>25</v>
      </c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15.75" x14ac:dyDescent="0.25">
      <c r="A57" s="22"/>
      <c r="B57" s="22"/>
      <c r="C57" s="67" t="s">
        <v>23</v>
      </c>
      <c r="D57" s="67"/>
      <c r="E57" s="47"/>
      <c r="F57" s="47"/>
      <c r="G57" s="68"/>
      <c r="H57" s="68"/>
      <c r="I57" s="68"/>
      <c r="J57" s="68"/>
    </row>
    <row r="58" spans="1:10" x14ac:dyDescent="0.25">
      <c r="A58" s="1"/>
      <c r="B58" s="1"/>
      <c r="C58" s="1"/>
      <c r="D58" s="1"/>
      <c r="E58" s="47"/>
      <c r="F58" s="47"/>
      <c r="G58" s="47"/>
      <c r="H58" s="47"/>
      <c r="I58" s="47"/>
      <c r="J58" s="47"/>
    </row>
    <row r="59" spans="1:10" x14ac:dyDescent="0.25">
      <c r="A59" s="59" t="s">
        <v>24</v>
      </c>
      <c r="B59" s="59"/>
      <c r="C59" s="47"/>
      <c r="D59" s="47"/>
      <c r="E59" s="47"/>
      <c r="F59" s="47"/>
      <c r="G59" s="47"/>
      <c r="H59" s="47"/>
      <c r="I59" s="47"/>
      <c r="J59" s="47"/>
    </row>
    <row r="60" spans="1:10" x14ac:dyDescent="0.25">
      <c r="A60" s="59" t="s">
        <v>26</v>
      </c>
      <c r="B60" s="59"/>
      <c r="C60" s="47"/>
      <c r="D60" s="47"/>
      <c r="E60" s="47"/>
      <c r="F60" s="47"/>
      <c r="G60" s="47"/>
      <c r="H60" s="47"/>
      <c r="I60" s="47"/>
      <c r="J60" s="47"/>
    </row>
  </sheetData>
  <mergeCells count="25">
    <mergeCell ref="A34:E34"/>
    <mergeCell ref="A23:E23"/>
    <mergeCell ref="A3:A8"/>
    <mergeCell ref="A28:A33"/>
    <mergeCell ref="A24:A26"/>
    <mergeCell ref="A27:E27"/>
    <mergeCell ref="A16:A22"/>
    <mergeCell ref="B1:C1"/>
    <mergeCell ref="G1:J1"/>
    <mergeCell ref="A9:E9"/>
    <mergeCell ref="A10:A14"/>
    <mergeCell ref="A15:E15"/>
    <mergeCell ref="A35:A37"/>
    <mergeCell ref="A38:E38"/>
    <mergeCell ref="A39:A40"/>
    <mergeCell ref="A41:E41"/>
    <mergeCell ref="A42:A46"/>
    <mergeCell ref="A59:B59"/>
    <mergeCell ref="A60:B60"/>
    <mergeCell ref="A47:E47"/>
    <mergeCell ref="A48:A53"/>
    <mergeCell ref="A54:E54"/>
    <mergeCell ref="A56:J56"/>
    <mergeCell ref="C57:D57"/>
    <mergeCell ref="G57:J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2023-03-27T11:41:30Z</dcterms:modified>
</cp:coreProperties>
</file>