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J49" i="1"/>
  <c r="I49" i="1"/>
  <c r="H49" i="1"/>
  <c r="G49" i="1"/>
  <c r="J45" i="1"/>
  <c r="I45" i="1"/>
  <c r="H45" i="1"/>
  <c r="G45" i="1"/>
  <c r="J42" i="1"/>
  <c r="I42" i="1"/>
  <c r="H42" i="1"/>
  <c r="G42" i="1"/>
  <c r="J38" i="1"/>
  <c r="I38" i="1"/>
  <c r="H38" i="1"/>
  <c r="G38" i="1"/>
  <c r="J36" i="1"/>
  <c r="I36" i="1"/>
  <c r="H36" i="1"/>
  <c r="G36" i="1"/>
  <c r="J34" i="1"/>
  <c r="I34" i="1"/>
  <c r="H34" i="1"/>
  <c r="G34" i="1"/>
  <c r="J33" i="1" l="1"/>
  <c r="I33" i="1"/>
  <c r="H33" i="1"/>
  <c r="G33" i="1"/>
  <c r="J31" i="1" l="1"/>
  <c r="I31" i="1"/>
  <c r="H31" i="1"/>
  <c r="G31" i="1"/>
  <c r="J27" i="1" l="1"/>
  <c r="I27" i="1"/>
  <c r="H27" i="1"/>
  <c r="G27" i="1"/>
  <c r="J25" i="1"/>
  <c r="I25" i="1"/>
  <c r="H25" i="1"/>
  <c r="G25" i="1"/>
  <c r="J23" i="1"/>
  <c r="I23" i="1"/>
  <c r="H23" i="1"/>
  <c r="G23" i="1"/>
  <c r="J21" i="1"/>
  <c r="I21" i="1"/>
  <c r="H21" i="1"/>
  <c r="G21" i="1"/>
  <c r="J18" i="1"/>
  <c r="I18" i="1"/>
  <c r="H18" i="1"/>
  <c r="G18" i="1"/>
  <c r="J17" i="1"/>
  <c r="I17" i="1"/>
  <c r="H17" i="1"/>
  <c r="G17" i="1"/>
  <c r="J15" i="1"/>
  <c r="I15" i="1"/>
  <c r="H15" i="1"/>
  <c r="G15" i="1"/>
  <c r="J13" i="1"/>
  <c r="I13" i="1"/>
  <c r="H13" i="1"/>
  <c r="G13" i="1"/>
  <c r="J10" i="1"/>
  <c r="I10" i="1"/>
  <c r="H10" i="1"/>
  <c r="G10" i="1"/>
  <c r="J7" i="1"/>
  <c r="I7" i="1"/>
  <c r="H7" i="1"/>
  <c r="G7" i="1"/>
  <c r="J3" i="1"/>
  <c r="I3" i="1"/>
  <c r="H3" i="1"/>
  <c r="G3" i="1"/>
  <c r="J52" i="1" l="1"/>
  <c r="I52" i="1"/>
  <c r="H52" i="1"/>
  <c r="G52" i="1"/>
  <c r="J50" i="1" l="1"/>
  <c r="I50" i="1"/>
  <c r="H50" i="1"/>
  <c r="G50" i="1"/>
  <c r="J48" i="1"/>
  <c r="I48" i="1"/>
  <c r="H48" i="1"/>
  <c r="G48" i="1"/>
  <c r="J47" i="1"/>
  <c r="I47" i="1"/>
  <c r="H47" i="1"/>
  <c r="G47" i="1"/>
  <c r="J43" i="1"/>
  <c r="I43" i="1"/>
  <c r="H43" i="1"/>
  <c r="G43" i="1"/>
  <c r="J41" i="1"/>
  <c r="I41" i="1"/>
  <c r="H41" i="1"/>
  <c r="G41" i="1"/>
  <c r="J28" i="1" l="1"/>
  <c r="I28" i="1"/>
  <c r="H28" i="1"/>
  <c r="G28" i="1"/>
  <c r="G32" i="1" s="1"/>
  <c r="H26" i="1" l="1"/>
  <c r="I26" i="1"/>
  <c r="J26" i="1"/>
  <c r="G26" i="1"/>
  <c r="F22" i="1" l="1"/>
  <c r="J20" i="1"/>
  <c r="I20" i="1"/>
  <c r="H20" i="1"/>
  <c r="G20" i="1"/>
  <c r="J4" i="1" l="1"/>
  <c r="I4" i="1"/>
  <c r="H4" i="1"/>
  <c r="G4" i="1"/>
  <c r="J11" i="1" l="1"/>
  <c r="I11" i="1"/>
  <c r="H11" i="1"/>
  <c r="G11" i="1"/>
  <c r="J53" i="1" l="1"/>
  <c r="I53" i="1"/>
  <c r="H53" i="1"/>
  <c r="F46" i="1"/>
  <c r="J46" i="1"/>
  <c r="I46" i="1"/>
  <c r="H46" i="1"/>
  <c r="G46" i="1"/>
  <c r="F40" i="1"/>
  <c r="J40" i="1"/>
  <c r="I40" i="1"/>
  <c r="H40" i="1"/>
  <c r="G40" i="1"/>
  <c r="F37" i="1"/>
  <c r="J37" i="1"/>
  <c r="I37" i="1"/>
  <c r="H37" i="1"/>
  <c r="G37" i="1"/>
  <c r="F32" i="1"/>
  <c r="J32" i="1"/>
  <c r="I32" i="1"/>
  <c r="H32" i="1"/>
  <c r="J16" i="1" l="1"/>
  <c r="J22" i="1" s="1"/>
  <c r="I16" i="1"/>
  <c r="I22" i="1" s="1"/>
  <c r="H16" i="1"/>
  <c r="H22" i="1" s="1"/>
  <c r="G16" i="1"/>
  <c r="G22" i="1" s="1"/>
  <c r="F8" i="1" l="1"/>
  <c r="J9" i="1" l="1"/>
  <c r="I9" i="1"/>
  <c r="H9" i="1"/>
  <c r="G9" i="1"/>
  <c r="J8" i="1" l="1"/>
  <c r="I8" i="1"/>
  <c r="H8" i="1"/>
  <c r="G8" i="1"/>
  <c r="F14" i="1" l="1"/>
  <c r="F26" i="1" l="1"/>
  <c r="J14" i="1" l="1"/>
  <c r="H14" i="1"/>
  <c r="G14" i="1"/>
  <c r="I14" i="1" l="1"/>
</calcChain>
</file>

<file path=xl/sharedStrings.xml><?xml version="1.0" encoding="utf-8"?>
<sst xmlns="http://schemas.openxmlformats.org/spreadsheetml/2006/main" count="177" uniqueCount="74">
  <si>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</si>
  <si>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</si>
  <si>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</si>
  <si>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</si>
  <si>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</si>
  <si>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</si>
  <si>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</si>
  <si>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</si>
  <si>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</si>
  <si>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</si>
  <si>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</si>
  <si>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</si>
  <si>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</si>
  <si>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</si>
  <si>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</si>
  <si>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</si>
  <si>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</si>
  <si>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</si>
  <si>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</si>
  <si>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</si>
  <si>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</si>
  <si>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</si>
  <si>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</si>
  <si>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</si>
  <si>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</si>
  <si>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</si>
  <si>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</si>
  <si>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</si>
  <si>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</si>
  <si>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</si>
  <si>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</si>
  <si>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</si>
  <si>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</si>
  <si>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</si>
  <si>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</si>
  <si>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</si>
  <si>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</si>
  <si>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№71-2015г.</t>
  </si>
  <si>
    <t>Завтрак 1-4 кл и дети-инвалиды 1 смена</t>
  </si>
  <si>
    <t>ПР</t>
  </si>
  <si>
    <t>Кондитерское изделие</t>
  </si>
  <si>
    <t>№424-2015г.</t>
  </si>
  <si>
    <t>Булочка домашняя</t>
  </si>
  <si>
    <t>№312-2015г.</t>
  </si>
  <si>
    <t>Пюре картофельное</t>
  </si>
  <si>
    <t>Напиток</t>
  </si>
  <si>
    <t>№82-2015г.</t>
  </si>
  <si>
    <t>Молочный коктейль "Авишка" 2,5 %</t>
  </si>
  <si>
    <t>№306-2015г.</t>
  </si>
  <si>
    <t>ТТК №22</t>
  </si>
  <si>
    <t>Биточки рыбные "по-домашнему"</t>
  </si>
  <si>
    <t>№265-2015г.</t>
  </si>
  <si>
    <t>Плов из свинины</t>
  </si>
  <si>
    <t>Бобовые отварные (горошек зелёный консервированный)</t>
  </si>
  <si>
    <t>Завтрак 5-11 кл с доплатой 70,00 руб. и льготники с доплатой 50,00 руб.; ДМГ 77,00 1 смена</t>
  </si>
  <si>
    <t>Обед 6-7 кл. 2-я смена с доплатой 70,00 руб. и льготники с доплатой 50,00 руб.; ДМГ 77,00 2-я смена</t>
  </si>
  <si>
    <t>№2-2015г.</t>
  </si>
  <si>
    <t>Бутерброд с повидлом</t>
  </si>
  <si>
    <t>Овощи натуральные свежие (огурцы)</t>
  </si>
  <si>
    <t>40/100</t>
  </si>
  <si>
    <t>Борщ со свежей капустой и картофелем со сметаной и зеленью</t>
  </si>
  <si>
    <t>250/10/2</t>
  </si>
  <si>
    <t>Зефир фруктовый</t>
  </si>
  <si>
    <t>№3-2015г.</t>
  </si>
  <si>
    <t>Бутерброд с сыром</t>
  </si>
  <si>
    <t>№15-2015г.</t>
  </si>
  <si>
    <t>Сыр (порциями)</t>
  </si>
  <si>
    <t>15/5/30</t>
  </si>
  <si>
    <t>№382-2015г.</t>
  </si>
  <si>
    <t>Какао с молоком</t>
  </si>
  <si>
    <t xml:space="preserve">Бобовые отварные (кукуруза сахарная консервированная) </t>
  </si>
  <si>
    <t>№304-2015г.</t>
  </si>
  <si>
    <t>Рис отварной</t>
  </si>
  <si>
    <t>20/28,5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</si>
</sst>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15"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/>
    <xf numFmtId="2" fontId="9" fillId="0" borderId="24" xfId="0" applyNumberFormat="1" applyFont="1" applyBorder="1" applyAlignment="1">
      <alignment vertical="center" wrapText="1"/>
    </xf>
    <xf numFmtId="0" fontId="8" fillId="0" borderId="0" xfId="0" applyFont="1"/>
    <xf numFmtId="0" fontId="8" fillId="0" borderId="0" xfId="0" applyFont="1"/>
    <xf numFmtId="2" fontId="8" fillId="0" borderId="1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8" fillId="0" borderId="28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/>
    <xf numFmtId="4" fontId="8" fillId="0" borderId="11" xfId="0" applyNumberFormat="1" applyFont="1" applyBorder="1" applyAlignment="1">
      <alignment horizontal="right" vertical="center" wrapText="1"/>
    </xf>
    <xf numFmtId="2" fontId="12" fillId="0" borderId="3" xfId="4" applyNumberFormat="1" applyFont="1" applyBorder="1" applyAlignment="1">
      <alignment horizontal="right" vertical="center" wrapText="1"/>
    </xf>
    <xf numFmtId="0" fontId="8" fillId="0" borderId="3" xfId="4" applyFont="1" applyBorder="1" applyAlignment="1">
      <alignment horizontal="left" vertical="center" wrapText="1"/>
    </xf>
    <xf numFmtId="0" fontId="13" fillId="0" borderId="3" xfId="4" applyFont="1" applyBorder="1" applyAlignment="1">
      <alignment vertical="center" wrapText="1"/>
    </xf>
    <xf numFmtId="2" fontId="12" fillId="0" borderId="11" xfId="4" applyNumberFormat="1" applyFont="1" applyBorder="1" applyAlignment="1">
      <alignment horizontal="right" vertical="center" wrapText="1"/>
    </xf>
    <xf numFmtId="0" fontId="8" fillId="0" borderId="0" xfId="0" applyFont="1"/>
    <xf numFmtId="2" fontId="9" fillId="0" borderId="29" xfId="0" applyNumberFormat="1" applyFont="1" applyBorder="1" applyAlignment="1">
      <alignment vertical="center" wrapText="1"/>
    </xf>
    <xf numFmtId="0" fontId="8" fillId="0" borderId="0" xfId="0" applyFont="1"/>
    <xf numFmtId="0" fontId="15" fillId="0" borderId="3" xfId="7" applyNumberFormat="1" applyFont="1" applyBorder="1" applyAlignment="1">
      <alignment horizontal="left" vertical="center" wrapText="1"/>
    </xf>
    <xf numFmtId="4" fontId="15" fillId="0" borderId="3" xfId="7" applyNumberFormat="1" applyFont="1" applyBorder="1" applyAlignment="1">
      <alignment horizontal="right" vertical="center"/>
    </xf>
    <xf numFmtId="4" fontId="8" fillId="0" borderId="3" xfId="6" applyNumberFormat="1" applyFont="1" applyBorder="1" applyAlignment="1">
      <alignment horizontal="right" vertical="center" wrapText="1"/>
    </xf>
    <xf numFmtId="4" fontId="8" fillId="0" borderId="11" xfId="6" applyNumberFormat="1" applyFont="1" applyBorder="1" applyAlignment="1">
      <alignment horizontal="right" vertical="center" wrapText="1"/>
    </xf>
    <xf numFmtId="0" fontId="8" fillId="0" borderId="3" xfId="6" applyFont="1" applyBorder="1" applyAlignment="1">
      <alignment vertical="center" wrapText="1"/>
    </xf>
    <xf numFmtId="2" fontId="9" fillId="0" borderId="35" xfId="0" applyNumberFormat="1" applyFont="1" applyBorder="1" applyAlignment="1">
      <alignment vertical="center" wrapText="1"/>
    </xf>
    <xf numFmtId="0" fontId="8" fillId="0" borderId="0" xfId="0" applyFont="1"/>
    <xf numFmtId="0" fontId="16" fillId="0" borderId="7" xfId="0" applyFont="1" applyBorder="1" applyAlignment="1">
      <alignment horizontal="left" vertical="center" wrapText="1"/>
    </xf>
    <xf numFmtId="0" fontId="8" fillId="0" borderId="0" xfId="0" applyFont="1"/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 horizontal="right" vertical="center" wrapText="1"/>
    </xf>
    <xf numFmtId="2" fontId="8" fillId="0" borderId="37" xfId="0" applyNumberFormat="1" applyFont="1" applyBorder="1" applyAlignment="1">
      <alignment horizontal="right" vertical="center" wrapText="1"/>
    </xf>
    <xf numFmtId="2" fontId="8" fillId="0" borderId="38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2" fontId="8" fillId="0" borderId="8" xfId="2" applyNumberFormat="1" applyFont="1" applyBorder="1" applyAlignment="1">
      <alignment horizontal="right" vertical="center" wrapText="1"/>
    </xf>
    <xf numFmtId="2" fontId="8" fillId="0" borderId="9" xfId="2" applyNumberFormat="1" applyFont="1" applyBorder="1" applyAlignment="1">
      <alignment horizontal="right"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right" vertical="center" wrapText="1"/>
    </xf>
    <xf numFmtId="2" fontId="8" fillId="0" borderId="40" xfId="0" applyNumberFormat="1" applyFont="1" applyBorder="1" applyAlignment="1">
      <alignment horizontal="right" vertical="center" wrapText="1"/>
    </xf>
    <xf numFmtId="2" fontId="8" fillId="0" borderId="41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right" vertical="center" wrapText="1"/>
    </xf>
    <xf numFmtId="0" fontId="8" fillId="0" borderId="0" xfId="0" applyFo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8"/>
    <cellStyle name="Обычный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7" workbookViewId="0">
      <selection activeCell="G54" sqref="G54"/>
    </sheetView>
  </sheetViews>
  <sheetFormatPr defaultRowHeight="15" x14ac:dyDescent="0.25"/>
  <cols>
    <col min="1" max="1" width="20.140625" style="67" customWidth="1"/>
    <col min="2" max="2" width="24.7109375" style="2" customWidth="1"/>
    <col min="3" max="3" width="12.28515625" style="2" customWidth="1"/>
    <col min="4" max="4" width="54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65" t="s">
        <v>0</v>
      </c>
      <c r="B1" s="94" t="s">
        <v>22</v>
      </c>
      <c r="C1" s="95"/>
      <c r="D1" s="1" t="s">
        <v>1</v>
      </c>
      <c r="E1" s="24"/>
      <c r="F1" s="1" t="s">
        <v>2</v>
      </c>
      <c r="G1" s="96">
        <v>45016</v>
      </c>
      <c r="H1" s="97"/>
      <c r="I1" s="97"/>
      <c r="J1" s="98"/>
      <c r="K1" s="1"/>
      <c r="L1" s="1"/>
    </row>
    <row r="2" spans="1:12" ht="15.75" thickBot="1" x14ac:dyDescent="0.3">
      <c r="A2" s="66" t="s">
        <v>3</v>
      </c>
      <c r="B2" s="3" t="s">
        <v>4</v>
      </c>
      <c r="C2" s="30" t="s">
        <v>5</v>
      </c>
      <c r="D2" s="34" t="s">
        <v>6</v>
      </c>
      <c r="E2" s="34" t="s">
        <v>7</v>
      </c>
      <c r="F2" s="34" t="s">
        <v>8</v>
      </c>
      <c r="G2" s="3" t="s">
        <v>9</v>
      </c>
      <c r="H2" s="3" t="s">
        <v>10</v>
      </c>
      <c r="I2" s="3" t="s">
        <v>11</v>
      </c>
      <c r="J2" s="31" t="s">
        <v>12</v>
      </c>
    </row>
    <row r="3" spans="1:12" s="48" customFormat="1" x14ac:dyDescent="0.25">
      <c r="A3" s="84" t="s">
        <v>38</v>
      </c>
      <c r="B3" s="19" t="s">
        <v>30</v>
      </c>
      <c r="C3" s="20" t="s">
        <v>37</v>
      </c>
      <c r="D3" s="20" t="s">
        <v>58</v>
      </c>
      <c r="E3" s="12">
        <v>20</v>
      </c>
      <c r="F3" s="13">
        <v>7.03</v>
      </c>
      <c r="G3" s="13">
        <f>6*0.4</f>
        <v>2.4000000000000004</v>
      </c>
      <c r="H3" s="13">
        <f>0.35*0.4</f>
        <v>0.13999999999999999</v>
      </c>
      <c r="I3" s="13">
        <f>0.05*0.4</f>
        <v>2.0000000000000004E-2</v>
      </c>
      <c r="J3" s="14">
        <f>0.95*0.4</f>
        <v>0.38</v>
      </c>
    </row>
    <row r="4" spans="1:12" s="59" customFormat="1" x14ac:dyDescent="0.25">
      <c r="A4" s="85"/>
      <c r="B4" s="6" t="s">
        <v>13</v>
      </c>
      <c r="C4" s="4" t="s">
        <v>51</v>
      </c>
      <c r="D4" s="4" t="s">
        <v>52</v>
      </c>
      <c r="E4" s="15" t="s">
        <v>59</v>
      </c>
      <c r="F4" s="5">
        <v>44</v>
      </c>
      <c r="G4" s="22">
        <f>408/150*140</f>
        <v>380.8</v>
      </c>
      <c r="H4" s="22">
        <f>12.62/150*140</f>
        <v>11.778666666666666</v>
      </c>
      <c r="I4" s="22">
        <f>28.17/150*140</f>
        <v>26.292000000000002</v>
      </c>
      <c r="J4" s="23">
        <f>25.89/150*140</f>
        <v>24.164000000000001</v>
      </c>
    </row>
    <row r="5" spans="1:12" x14ac:dyDescent="0.25">
      <c r="A5" s="85"/>
      <c r="B5" s="6" t="s">
        <v>45</v>
      </c>
      <c r="C5" s="4" t="s">
        <v>39</v>
      </c>
      <c r="D5" s="4" t="s">
        <v>47</v>
      </c>
      <c r="E5" s="15">
        <v>200</v>
      </c>
      <c r="F5" s="5">
        <v>41.02</v>
      </c>
      <c r="G5" s="5">
        <v>160</v>
      </c>
      <c r="H5" s="5">
        <v>6.2</v>
      </c>
      <c r="I5" s="5">
        <v>5</v>
      </c>
      <c r="J5" s="7">
        <v>22</v>
      </c>
    </row>
    <row r="6" spans="1:12" s="41" customFormat="1" x14ac:dyDescent="0.25">
      <c r="A6" s="85"/>
      <c r="B6" s="6" t="s">
        <v>21</v>
      </c>
      <c r="C6" s="38" t="s">
        <v>41</v>
      </c>
      <c r="D6" s="4" t="s">
        <v>42</v>
      </c>
      <c r="E6" s="15">
        <v>50</v>
      </c>
      <c r="F6" s="5">
        <v>4.18</v>
      </c>
      <c r="G6" s="39">
        <v>159</v>
      </c>
      <c r="H6" s="39">
        <v>3.64</v>
      </c>
      <c r="I6" s="39">
        <v>6.26</v>
      </c>
      <c r="J6" s="43">
        <v>21.96</v>
      </c>
    </row>
    <row r="7" spans="1:12" s="36" customFormat="1" ht="15.75" thickBot="1" x14ac:dyDescent="0.3">
      <c r="A7" s="86"/>
      <c r="B7" s="8" t="s">
        <v>14</v>
      </c>
      <c r="C7" s="9" t="s">
        <v>31</v>
      </c>
      <c r="D7" s="9" t="s">
        <v>32</v>
      </c>
      <c r="E7" s="16">
        <v>24.5</v>
      </c>
      <c r="F7" s="17">
        <v>0.92</v>
      </c>
      <c r="G7" s="17">
        <f>229.7*0.245</f>
        <v>56.276499999999999</v>
      </c>
      <c r="H7" s="10">
        <f>6.7*0.245</f>
        <v>1.6415</v>
      </c>
      <c r="I7" s="10">
        <f>1.1*0.245</f>
        <v>0.26950000000000002</v>
      </c>
      <c r="J7" s="11">
        <f>48.3*0.245</f>
        <v>11.833499999999999</v>
      </c>
    </row>
    <row r="8" spans="1:12" ht="16.5" thickBot="1" x14ac:dyDescent="0.3">
      <c r="A8" s="81" t="s">
        <v>15</v>
      </c>
      <c r="B8" s="99"/>
      <c r="C8" s="99"/>
      <c r="D8" s="99"/>
      <c r="E8" s="100"/>
      <c r="F8" s="49">
        <f>SUM(F3:F7)</f>
        <v>97.15000000000002</v>
      </c>
      <c r="G8" s="49">
        <f>SUM(G3:G7)</f>
        <v>758.47649999999999</v>
      </c>
      <c r="H8" s="49">
        <f>SUM(H3:H7)</f>
        <v>23.400166666666667</v>
      </c>
      <c r="I8" s="49">
        <f>SUM(I3:I7)</f>
        <v>37.841500000000003</v>
      </c>
      <c r="J8" s="49">
        <f>SUM(J3:J7)</f>
        <v>80.337499999999991</v>
      </c>
    </row>
    <row r="9" spans="1:12" ht="30" x14ac:dyDescent="0.25">
      <c r="A9" s="91" t="s">
        <v>27</v>
      </c>
      <c r="B9" s="6" t="s">
        <v>16</v>
      </c>
      <c r="C9" s="4" t="s">
        <v>46</v>
      </c>
      <c r="D9" s="4" t="s">
        <v>60</v>
      </c>
      <c r="E9" s="15" t="s">
        <v>61</v>
      </c>
      <c r="F9" s="5">
        <v>14.23</v>
      </c>
      <c r="G9" s="5">
        <f>415*0.25+162*0.1</f>
        <v>119.95</v>
      </c>
      <c r="H9" s="5">
        <f>7.21*0.25+2.6*0.1</f>
        <v>2.0625</v>
      </c>
      <c r="I9" s="5">
        <f>19.68*0.25+15*0.1</f>
        <v>6.42</v>
      </c>
      <c r="J9" s="7">
        <f>43.73*0.25+3.6*0.1</f>
        <v>11.292499999999999</v>
      </c>
      <c r="K9"/>
    </row>
    <row r="10" spans="1:12" x14ac:dyDescent="0.25">
      <c r="A10" s="91"/>
      <c r="B10" s="6" t="s">
        <v>13</v>
      </c>
      <c r="C10" s="51" t="s">
        <v>49</v>
      </c>
      <c r="D10" s="55" t="s">
        <v>50</v>
      </c>
      <c r="E10" s="15">
        <v>25</v>
      </c>
      <c r="F10" s="5">
        <v>12.49</v>
      </c>
      <c r="G10" s="52">
        <f>132.2/75*25</f>
        <v>44.066666666666663</v>
      </c>
      <c r="H10" s="53">
        <f>9.5/75*25</f>
        <v>3.166666666666667</v>
      </c>
      <c r="I10" s="53">
        <f>5.6/75*25</f>
        <v>1.8666666666666665</v>
      </c>
      <c r="J10" s="54">
        <f>10.9/75*25</f>
        <v>3.6333333333333337</v>
      </c>
      <c r="K10"/>
    </row>
    <row r="11" spans="1:12" s="27" customFormat="1" ht="15.75" x14ac:dyDescent="0.25">
      <c r="A11" s="91"/>
      <c r="B11" s="6" t="s">
        <v>17</v>
      </c>
      <c r="C11" s="45" t="s">
        <v>43</v>
      </c>
      <c r="D11" s="46" t="s">
        <v>44</v>
      </c>
      <c r="E11" s="15">
        <v>100</v>
      </c>
      <c r="F11" s="5">
        <v>11.61</v>
      </c>
      <c r="G11" s="44">
        <f>915*0.1</f>
        <v>91.5</v>
      </c>
      <c r="H11" s="44">
        <f>20.43*0.1</f>
        <v>2.0430000000000001</v>
      </c>
      <c r="I11" s="44">
        <f>32.01*0.1</f>
        <v>3.2010000000000001</v>
      </c>
      <c r="J11" s="47">
        <f>136.26*0.1</f>
        <v>13.625999999999999</v>
      </c>
      <c r="K11"/>
    </row>
    <row r="12" spans="1:12" s="27" customFormat="1" x14ac:dyDescent="0.25">
      <c r="A12" s="91"/>
      <c r="B12" s="6" t="s">
        <v>18</v>
      </c>
      <c r="C12" s="4" t="s">
        <v>19</v>
      </c>
      <c r="D12" s="4" t="s">
        <v>20</v>
      </c>
      <c r="E12" s="15" t="s">
        <v>33</v>
      </c>
      <c r="F12" s="5">
        <v>3.07</v>
      </c>
      <c r="G12" s="5">
        <v>60</v>
      </c>
      <c r="H12" s="5">
        <v>7.0000000000000007E-2</v>
      </c>
      <c r="I12" s="5">
        <v>0.02</v>
      </c>
      <c r="J12" s="7">
        <v>15</v>
      </c>
    </row>
    <row r="13" spans="1:12" ht="15.75" thickBot="1" x14ac:dyDescent="0.3">
      <c r="A13" s="91"/>
      <c r="B13" s="8" t="s">
        <v>14</v>
      </c>
      <c r="C13" s="9" t="s">
        <v>31</v>
      </c>
      <c r="D13" s="9" t="s">
        <v>32</v>
      </c>
      <c r="E13" s="16">
        <v>24</v>
      </c>
      <c r="F13" s="17">
        <v>0.89</v>
      </c>
      <c r="G13" s="17">
        <f>229.7*0.24</f>
        <v>55.127999999999993</v>
      </c>
      <c r="H13" s="10">
        <f>6.7*0.24</f>
        <v>1.6079999999999999</v>
      </c>
      <c r="I13" s="10">
        <f>1.1*0.24</f>
        <v>0.26400000000000001</v>
      </c>
      <c r="J13" s="11">
        <f>48.3*0.24</f>
        <v>11.591999999999999</v>
      </c>
    </row>
    <row r="14" spans="1:12" ht="16.5" thickBot="1" x14ac:dyDescent="0.3">
      <c r="A14" s="101" t="s">
        <v>15</v>
      </c>
      <c r="B14" s="102"/>
      <c r="C14" s="102"/>
      <c r="D14" s="102"/>
      <c r="E14" s="103"/>
      <c r="F14" s="26">
        <f>SUM(F9:F13)</f>
        <v>42.29</v>
      </c>
      <c r="G14" s="26">
        <f t="shared" ref="G14:J14" si="0">SUM(G9:G13)</f>
        <v>370.64466666666664</v>
      </c>
      <c r="H14" s="26">
        <f t="shared" si="0"/>
        <v>8.9501666666666679</v>
      </c>
      <c r="I14" s="26">
        <f t="shared" si="0"/>
        <v>11.771666666666667</v>
      </c>
      <c r="J14" s="26">
        <f t="shared" si="0"/>
        <v>55.143833333333333</v>
      </c>
    </row>
    <row r="15" spans="1:12" s="50" customFormat="1" ht="15.75" x14ac:dyDescent="0.25">
      <c r="A15" s="87" t="s">
        <v>28</v>
      </c>
      <c r="B15" s="58" t="s">
        <v>30</v>
      </c>
      <c r="C15" s="40" t="s">
        <v>48</v>
      </c>
      <c r="D15" s="40" t="s">
        <v>53</v>
      </c>
      <c r="E15" s="12">
        <v>5</v>
      </c>
      <c r="F15" s="13">
        <v>3.73</v>
      </c>
      <c r="G15" s="13">
        <f>592*0.005</f>
        <v>2.96</v>
      </c>
      <c r="H15" s="13">
        <f>28.85*0.005</f>
        <v>0.14425000000000002</v>
      </c>
      <c r="I15" s="13">
        <f>27.24*0.005</f>
        <v>0.13619999999999999</v>
      </c>
      <c r="J15" s="14">
        <f>57.86*0.005</f>
        <v>0.2893</v>
      </c>
      <c r="K15"/>
    </row>
    <row r="16" spans="1:12" s="35" customFormat="1" ht="30" x14ac:dyDescent="0.25">
      <c r="A16" s="88"/>
      <c r="B16" s="6" t="s">
        <v>16</v>
      </c>
      <c r="C16" s="4" t="s">
        <v>46</v>
      </c>
      <c r="D16" s="4" t="s">
        <v>60</v>
      </c>
      <c r="E16" s="15" t="s">
        <v>61</v>
      </c>
      <c r="F16" s="5">
        <v>14.23</v>
      </c>
      <c r="G16" s="5">
        <f>415*0.25+162*0.1</f>
        <v>119.95</v>
      </c>
      <c r="H16" s="5">
        <f>7.21*0.25+2.6*0.1</f>
        <v>2.0625</v>
      </c>
      <c r="I16" s="5">
        <f>19.68*0.25+15*0.1</f>
        <v>6.42</v>
      </c>
      <c r="J16" s="7">
        <f>43.73*0.25+3.6*0.1</f>
        <v>11.292499999999999</v>
      </c>
    </row>
    <row r="17" spans="1:11" s="25" customFormat="1" x14ac:dyDescent="0.25">
      <c r="A17" s="88"/>
      <c r="B17" s="6" t="s">
        <v>13</v>
      </c>
      <c r="C17" s="51" t="s">
        <v>49</v>
      </c>
      <c r="D17" s="55" t="s">
        <v>50</v>
      </c>
      <c r="E17" s="15">
        <v>80</v>
      </c>
      <c r="F17" s="5">
        <v>39.979999999999997</v>
      </c>
      <c r="G17" s="52">
        <f>132.2/75*80</f>
        <v>141.01333333333332</v>
      </c>
      <c r="H17" s="53">
        <f>9.5/75*80</f>
        <v>10.133333333333335</v>
      </c>
      <c r="I17" s="53">
        <f>5.6/75*80</f>
        <v>5.9733333333333327</v>
      </c>
      <c r="J17" s="54">
        <f>10.9/75*80</f>
        <v>11.626666666666667</v>
      </c>
      <c r="K17"/>
    </row>
    <row r="18" spans="1:11" s="33" customFormat="1" ht="15.75" x14ac:dyDescent="0.25">
      <c r="A18" s="88"/>
      <c r="B18" s="6" t="s">
        <v>17</v>
      </c>
      <c r="C18" s="45" t="s">
        <v>43</v>
      </c>
      <c r="D18" s="46" t="s">
        <v>44</v>
      </c>
      <c r="E18" s="15">
        <v>150</v>
      </c>
      <c r="F18" s="5">
        <v>17.420000000000002</v>
      </c>
      <c r="G18" s="44">
        <f>915*0.15</f>
        <v>137.25</v>
      </c>
      <c r="H18" s="44">
        <f>20.43*0.15</f>
        <v>3.0644999999999998</v>
      </c>
      <c r="I18" s="44">
        <f>32.01*0.15</f>
        <v>4.8014999999999999</v>
      </c>
      <c r="J18" s="47">
        <f>136.26*0.15</f>
        <v>20.438999999999997</v>
      </c>
      <c r="K18"/>
    </row>
    <row r="19" spans="1:11" s="32" customFormat="1" x14ac:dyDescent="0.25">
      <c r="A19" s="88"/>
      <c r="B19" s="6" t="s">
        <v>18</v>
      </c>
      <c r="C19" s="4" t="s">
        <v>19</v>
      </c>
      <c r="D19" s="4" t="s">
        <v>20</v>
      </c>
      <c r="E19" s="15" t="s">
        <v>33</v>
      </c>
      <c r="F19" s="5">
        <v>3.07</v>
      </c>
      <c r="G19" s="5">
        <v>60</v>
      </c>
      <c r="H19" s="5">
        <v>7.0000000000000007E-2</v>
      </c>
      <c r="I19" s="5">
        <v>0.02</v>
      </c>
      <c r="J19" s="7">
        <v>15</v>
      </c>
    </row>
    <row r="20" spans="1:11" s="42" customFormat="1" x14ac:dyDescent="0.25">
      <c r="A20" s="88"/>
      <c r="B20" s="60" t="s">
        <v>40</v>
      </c>
      <c r="C20" s="61" t="s">
        <v>39</v>
      </c>
      <c r="D20" s="61" t="s">
        <v>62</v>
      </c>
      <c r="E20" s="62">
        <v>60</v>
      </c>
      <c r="F20" s="63">
        <v>17.64</v>
      </c>
      <c r="G20" s="63">
        <f>330*0.6</f>
        <v>198</v>
      </c>
      <c r="H20" s="63">
        <f>1*0.6</f>
        <v>0.6</v>
      </c>
      <c r="I20" s="63">
        <f>0</f>
        <v>0</v>
      </c>
      <c r="J20" s="64">
        <f>81*0.6</f>
        <v>48.6</v>
      </c>
      <c r="K20"/>
    </row>
    <row r="21" spans="1:11" s="32" customFormat="1" ht="15.75" thickBot="1" x14ac:dyDescent="0.3">
      <c r="A21" s="89"/>
      <c r="B21" s="8" t="s">
        <v>14</v>
      </c>
      <c r="C21" s="9" t="s">
        <v>31</v>
      </c>
      <c r="D21" s="9" t="s">
        <v>32</v>
      </c>
      <c r="E21" s="16">
        <v>28.5</v>
      </c>
      <c r="F21" s="17">
        <v>1.08</v>
      </c>
      <c r="G21" s="17">
        <f>229.7*0.285</f>
        <v>65.464499999999987</v>
      </c>
      <c r="H21" s="10">
        <f>6.7*0.285</f>
        <v>1.9095</v>
      </c>
      <c r="I21" s="10">
        <f>1.1*0.285</f>
        <v>0.3135</v>
      </c>
      <c r="J21" s="11">
        <f>48.3*0.285</f>
        <v>13.765499999999998</v>
      </c>
    </row>
    <row r="22" spans="1:11" s="28" customFormat="1" ht="16.5" thickBot="1" x14ac:dyDescent="0.3">
      <c r="A22" s="81" t="s">
        <v>15</v>
      </c>
      <c r="B22" s="82"/>
      <c r="C22" s="82"/>
      <c r="D22" s="82"/>
      <c r="E22" s="83"/>
      <c r="F22" s="18">
        <f>SUM(F15:F21)</f>
        <v>97.149999999999991</v>
      </c>
      <c r="G22" s="18">
        <f t="shared" ref="G22:J22" si="1">SUM(G15:G21)</f>
        <v>724.63783333333322</v>
      </c>
      <c r="H22" s="18">
        <f t="shared" si="1"/>
        <v>17.984083333333338</v>
      </c>
      <c r="I22" s="18">
        <f t="shared" si="1"/>
        <v>17.664533333333335</v>
      </c>
      <c r="J22" s="18">
        <f t="shared" si="1"/>
        <v>121.01296666666667</v>
      </c>
      <c r="K22"/>
    </row>
    <row r="23" spans="1:11" s="32" customFormat="1" x14ac:dyDescent="0.25">
      <c r="A23" s="91" t="s">
        <v>29</v>
      </c>
      <c r="B23" s="69" t="s">
        <v>30</v>
      </c>
      <c r="C23" s="40" t="s">
        <v>63</v>
      </c>
      <c r="D23" s="70" t="s">
        <v>64</v>
      </c>
      <c r="E23" s="71" t="s">
        <v>67</v>
      </c>
      <c r="F23" s="12">
        <v>25.41</v>
      </c>
      <c r="G23" s="13">
        <f>364*0.15+660*0.05+229.7*0.3</f>
        <v>156.51</v>
      </c>
      <c r="H23" s="72">
        <f>23.2*0.15+0.8*0.05+6.7*0.3</f>
        <v>5.5299999999999994</v>
      </c>
      <c r="I23" s="72">
        <f>29.5*0.15+72.5*0.05+1.1*0.3</f>
        <v>8.3800000000000008</v>
      </c>
      <c r="J23" s="73">
        <f>0+1.3*0.05+48.3*0.3</f>
        <v>14.554999999999998</v>
      </c>
      <c r="K23"/>
    </row>
    <row r="24" spans="1:11" s="42" customFormat="1" x14ac:dyDescent="0.25">
      <c r="A24" s="91"/>
      <c r="B24" s="6" t="s">
        <v>18</v>
      </c>
      <c r="C24" s="4" t="s">
        <v>19</v>
      </c>
      <c r="D24" s="4" t="s">
        <v>20</v>
      </c>
      <c r="E24" s="15" t="s">
        <v>33</v>
      </c>
      <c r="F24" s="5">
        <v>3.07</v>
      </c>
      <c r="G24" s="5">
        <v>60</v>
      </c>
      <c r="H24" s="5">
        <v>7.0000000000000007E-2</v>
      </c>
      <c r="I24" s="5">
        <v>0.02</v>
      </c>
      <c r="J24" s="7">
        <v>15</v>
      </c>
      <c r="K24"/>
    </row>
    <row r="25" spans="1:11" s="37" customFormat="1" ht="15.75" thickBot="1" x14ac:dyDescent="0.3">
      <c r="A25" s="91"/>
      <c r="B25" s="74" t="s">
        <v>40</v>
      </c>
      <c r="C25" s="75" t="s">
        <v>39</v>
      </c>
      <c r="D25" s="75" t="s">
        <v>62</v>
      </c>
      <c r="E25" s="76">
        <v>58</v>
      </c>
      <c r="F25" s="77">
        <v>13.81</v>
      </c>
      <c r="G25" s="77">
        <f>330*0.58</f>
        <v>191.39999999999998</v>
      </c>
      <c r="H25" s="77">
        <f>1*0.58</f>
        <v>0.57999999999999996</v>
      </c>
      <c r="I25" s="77">
        <f>0</f>
        <v>0</v>
      </c>
      <c r="J25" s="78">
        <f>81*0.58</f>
        <v>46.98</v>
      </c>
      <c r="K25"/>
    </row>
    <row r="26" spans="1:11" ht="16.5" thickBot="1" x14ac:dyDescent="0.3">
      <c r="A26" s="92" t="s">
        <v>15</v>
      </c>
      <c r="B26" s="82"/>
      <c r="C26" s="82"/>
      <c r="D26" s="82"/>
      <c r="E26" s="93"/>
      <c r="F26" s="18">
        <f>SUM(F23:F25)</f>
        <v>42.29</v>
      </c>
      <c r="G26" s="18">
        <f>SUM(G23:G25)</f>
        <v>407.90999999999997</v>
      </c>
      <c r="H26" s="18">
        <f t="shared" ref="H26:J26" si="2">SUM(H23:H25)</f>
        <v>6.18</v>
      </c>
      <c r="I26" s="18">
        <f t="shared" si="2"/>
        <v>8.4</v>
      </c>
      <c r="J26" s="18">
        <f t="shared" si="2"/>
        <v>76.534999999999997</v>
      </c>
      <c r="K26"/>
    </row>
    <row r="27" spans="1:11" x14ac:dyDescent="0.25">
      <c r="A27" s="84" t="s">
        <v>54</v>
      </c>
      <c r="B27" s="69" t="s">
        <v>30</v>
      </c>
      <c r="C27" s="40" t="s">
        <v>65</v>
      </c>
      <c r="D27" s="40" t="s">
        <v>66</v>
      </c>
      <c r="E27" s="12">
        <v>10</v>
      </c>
      <c r="F27" s="79">
        <v>9.9</v>
      </c>
      <c r="G27" s="79">
        <f>3.64*1</f>
        <v>3.64</v>
      </c>
      <c r="H27" s="79">
        <f>23.2*0.1</f>
        <v>2.3199999999999998</v>
      </c>
      <c r="I27" s="79">
        <f>29.5*0.1</f>
        <v>2.95</v>
      </c>
      <c r="J27" s="80">
        <f>0</f>
        <v>0</v>
      </c>
    </row>
    <row r="28" spans="1:11" x14ac:dyDescent="0.25">
      <c r="A28" s="85"/>
      <c r="B28" s="6" t="s">
        <v>13</v>
      </c>
      <c r="C28" s="4" t="s">
        <v>51</v>
      </c>
      <c r="D28" s="4" t="s">
        <v>52</v>
      </c>
      <c r="E28" s="15" t="s">
        <v>59</v>
      </c>
      <c r="F28" s="5">
        <v>44</v>
      </c>
      <c r="G28" s="22">
        <f>408/150*140</f>
        <v>380.8</v>
      </c>
      <c r="H28" s="22">
        <f>12.62/150*140</f>
        <v>11.778666666666666</v>
      </c>
      <c r="I28" s="22">
        <f>28.17/150*140</f>
        <v>26.292000000000002</v>
      </c>
      <c r="J28" s="23">
        <f>25.89/150*140</f>
        <v>24.164000000000001</v>
      </c>
    </row>
    <row r="29" spans="1:11" x14ac:dyDescent="0.25">
      <c r="A29" s="85"/>
      <c r="B29" s="6" t="s">
        <v>18</v>
      </c>
      <c r="C29" s="4" t="s">
        <v>68</v>
      </c>
      <c r="D29" s="4" t="s">
        <v>69</v>
      </c>
      <c r="E29" s="15">
        <v>200</v>
      </c>
      <c r="F29" s="5">
        <v>18.399999999999999</v>
      </c>
      <c r="G29" s="5">
        <v>136</v>
      </c>
      <c r="H29" s="5">
        <v>3.64</v>
      </c>
      <c r="I29" s="5">
        <v>3.35</v>
      </c>
      <c r="J29" s="7">
        <v>22.82</v>
      </c>
    </row>
    <row r="30" spans="1:11" x14ac:dyDescent="0.25">
      <c r="A30" s="85"/>
      <c r="B30" s="6" t="s">
        <v>21</v>
      </c>
      <c r="C30" s="38" t="s">
        <v>41</v>
      </c>
      <c r="D30" s="4" t="s">
        <v>42</v>
      </c>
      <c r="E30" s="15">
        <v>50</v>
      </c>
      <c r="F30" s="5">
        <v>4.18</v>
      </c>
      <c r="G30" s="39">
        <v>159</v>
      </c>
      <c r="H30" s="39">
        <v>3.64</v>
      </c>
      <c r="I30" s="39">
        <v>6.26</v>
      </c>
      <c r="J30" s="43">
        <v>21.96</v>
      </c>
    </row>
    <row r="31" spans="1:11" ht="15.75" thickBot="1" x14ac:dyDescent="0.3">
      <c r="A31" s="90"/>
      <c r="B31" s="8" t="s">
        <v>14</v>
      </c>
      <c r="C31" s="9" t="s">
        <v>31</v>
      </c>
      <c r="D31" s="9" t="s">
        <v>32</v>
      </c>
      <c r="E31" s="16">
        <v>14</v>
      </c>
      <c r="F31" s="17">
        <v>0.52</v>
      </c>
      <c r="G31" s="17">
        <f>229.7*0.14</f>
        <v>32.158000000000001</v>
      </c>
      <c r="H31" s="10">
        <f>6.7*0.14</f>
        <v>0.93800000000000017</v>
      </c>
      <c r="I31" s="10">
        <f>1.1*0.14</f>
        <v>0.15400000000000003</v>
      </c>
      <c r="J31" s="11">
        <f>48.3*0.14</f>
        <v>6.7620000000000005</v>
      </c>
    </row>
    <row r="32" spans="1:11" ht="16.5" thickBot="1" x14ac:dyDescent="0.3">
      <c r="A32" s="104" t="s">
        <v>15</v>
      </c>
      <c r="B32" s="82"/>
      <c r="C32" s="82"/>
      <c r="D32" s="82"/>
      <c r="E32" s="93"/>
      <c r="F32" s="18">
        <f>SUM(F27:F31)</f>
        <v>76.999999999999986</v>
      </c>
      <c r="G32" s="18">
        <f>SUM(G27:G31)</f>
        <v>711.59800000000007</v>
      </c>
      <c r="H32" s="18">
        <f>SUM(H27:H31)</f>
        <v>22.316666666666666</v>
      </c>
      <c r="I32" s="18">
        <f>SUM(I27:I31)</f>
        <v>39.006</v>
      </c>
      <c r="J32" s="18">
        <f>SUM(J27:J31)</f>
        <v>75.706000000000003</v>
      </c>
    </row>
    <row r="33" spans="1:10" ht="30" x14ac:dyDescent="0.25">
      <c r="A33" s="87" t="s">
        <v>34</v>
      </c>
      <c r="B33" s="69" t="s">
        <v>30</v>
      </c>
      <c r="C33" s="40" t="s">
        <v>48</v>
      </c>
      <c r="D33" s="40" t="s">
        <v>70</v>
      </c>
      <c r="E33" s="12">
        <v>10</v>
      </c>
      <c r="F33" s="13">
        <v>6.39</v>
      </c>
      <c r="G33" s="13">
        <f>736*0.01</f>
        <v>7.36</v>
      </c>
      <c r="H33" s="13">
        <f>20.55*0.01</f>
        <v>0.20550000000000002</v>
      </c>
      <c r="I33" s="13">
        <f>29.1*0.01</f>
        <v>0.29100000000000004</v>
      </c>
      <c r="J33" s="14">
        <f>97.89*0.01</f>
        <v>0.97889999999999999</v>
      </c>
    </row>
    <row r="34" spans="1:10" x14ac:dyDescent="0.25">
      <c r="A34" s="88"/>
      <c r="B34" s="6" t="s">
        <v>17</v>
      </c>
      <c r="C34" s="4" t="s">
        <v>71</v>
      </c>
      <c r="D34" s="4" t="s">
        <v>72</v>
      </c>
      <c r="E34" s="15">
        <v>150</v>
      </c>
      <c r="F34" s="5">
        <v>15.93</v>
      </c>
      <c r="G34" s="5">
        <f>1398*0.15</f>
        <v>209.7</v>
      </c>
      <c r="H34" s="5">
        <f>24.34*0.15</f>
        <v>3.6509999999999998</v>
      </c>
      <c r="I34" s="5">
        <f>35.83*0.15</f>
        <v>5.3744999999999994</v>
      </c>
      <c r="J34" s="7">
        <f>244.56*0.15</f>
        <v>36.683999999999997</v>
      </c>
    </row>
    <row r="35" spans="1:10" x14ac:dyDescent="0.25">
      <c r="A35" s="88"/>
      <c r="B35" s="6" t="s">
        <v>18</v>
      </c>
      <c r="C35" s="4" t="s">
        <v>19</v>
      </c>
      <c r="D35" s="4" t="s">
        <v>20</v>
      </c>
      <c r="E35" s="15" t="s">
        <v>33</v>
      </c>
      <c r="F35" s="5">
        <v>3.07</v>
      </c>
      <c r="G35" s="5">
        <v>60</v>
      </c>
      <c r="H35" s="5">
        <v>7.0000000000000007E-2</v>
      </c>
      <c r="I35" s="5">
        <v>0.02</v>
      </c>
      <c r="J35" s="7">
        <v>15</v>
      </c>
    </row>
    <row r="36" spans="1:10" ht="15.75" thickBot="1" x14ac:dyDescent="0.3">
      <c r="A36" s="89"/>
      <c r="B36" s="8" t="s">
        <v>14</v>
      </c>
      <c r="C36" s="9" t="s">
        <v>31</v>
      </c>
      <c r="D36" s="9" t="s">
        <v>32</v>
      </c>
      <c r="E36" s="16">
        <v>43</v>
      </c>
      <c r="F36" s="17">
        <v>1.61</v>
      </c>
      <c r="G36" s="17">
        <f>229.7*0.43</f>
        <v>98.770999999999987</v>
      </c>
      <c r="H36" s="10">
        <f>6.7*0.43</f>
        <v>2.8810000000000002</v>
      </c>
      <c r="I36" s="10">
        <f>1.1*0.43</f>
        <v>0.47300000000000003</v>
      </c>
      <c r="J36" s="11">
        <f>48.3*0.43</f>
        <v>20.768999999999998</v>
      </c>
    </row>
    <row r="37" spans="1:10" ht="16.5" thickBot="1" x14ac:dyDescent="0.3">
      <c r="A37" s="105" t="s">
        <v>15</v>
      </c>
      <c r="B37" s="82"/>
      <c r="C37" s="82"/>
      <c r="D37" s="82"/>
      <c r="E37" s="93"/>
      <c r="F37" s="18">
        <f>SUM(F33:F36)</f>
        <v>27</v>
      </c>
      <c r="G37" s="18">
        <f>SUM(G33:G36)</f>
        <v>375.83100000000002</v>
      </c>
      <c r="H37" s="18">
        <f>SUM(H33:H36)</f>
        <v>6.8074999999999992</v>
      </c>
      <c r="I37" s="18">
        <f>SUM(I33:I36)</f>
        <v>6.1584999999999992</v>
      </c>
      <c r="J37" s="18">
        <f>SUM(J33:J36)</f>
        <v>73.431899999999999</v>
      </c>
    </row>
    <row r="38" spans="1:10" x14ac:dyDescent="0.25">
      <c r="A38" s="106" t="s">
        <v>35</v>
      </c>
      <c r="B38" s="19" t="s">
        <v>30</v>
      </c>
      <c r="C38" s="20" t="s">
        <v>56</v>
      </c>
      <c r="D38" s="20" t="s">
        <v>57</v>
      </c>
      <c r="E38" s="12" t="s">
        <v>73</v>
      </c>
      <c r="F38" s="13">
        <v>3.93</v>
      </c>
      <c r="G38" s="13">
        <f>250*0.2+229.7*0.285</f>
        <v>115.46449999999999</v>
      </c>
      <c r="H38" s="13">
        <f>0.4*0.2+6.7*0.285</f>
        <v>1.9895</v>
      </c>
      <c r="I38" s="13">
        <f>0+1.1*0.285</f>
        <v>0.3135</v>
      </c>
      <c r="J38" s="14">
        <f>65*0.2+48.3*0.285</f>
        <v>26.765499999999996</v>
      </c>
    </row>
    <row r="39" spans="1:10" ht="15.75" thickBot="1" x14ac:dyDescent="0.3">
      <c r="A39" s="107"/>
      <c r="B39" s="8" t="s">
        <v>18</v>
      </c>
      <c r="C39" s="9" t="s">
        <v>19</v>
      </c>
      <c r="D39" s="9" t="s">
        <v>20</v>
      </c>
      <c r="E39" s="16" t="s">
        <v>33</v>
      </c>
      <c r="F39" s="17">
        <v>3.07</v>
      </c>
      <c r="G39" s="17">
        <v>60</v>
      </c>
      <c r="H39" s="17">
        <v>7.0000000000000007E-2</v>
      </c>
      <c r="I39" s="17">
        <v>0.02</v>
      </c>
      <c r="J39" s="29">
        <v>15</v>
      </c>
    </row>
    <row r="40" spans="1:10" ht="16.5" thickBot="1" x14ac:dyDescent="0.3">
      <c r="A40" s="108" t="s">
        <v>15</v>
      </c>
      <c r="B40" s="82"/>
      <c r="C40" s="82"/>
      <c r="D40" s="82"/>
      <c r="E40" s="93"/>
      <c r="F40" s="18">
        <f>SUM(F38:F39)</f>
        <v>7</v>
      </c>
      <c r="G40" s="18">
        <f>SUM(G38:G39)</f>
        <v>175.46449999999999</v>
      </c>
      <c r="H40" s="18">
        <f t="shared" ref="H40:J40" si="3">SUM(H38:H39)</f>
        <v>2.0594999999999999</v>
      </c>
      <c r="I40" s="18">
        <f t="shared" si="3"/>
        <v>0.33350000000000002</v>
      </c>
      <c r="J40" s="18">
        <f t="shared" si="3"/>
        <v>41.765499999999996</v>
      </c>
    </row>
    <row r="41" spans="1:10" ht="30" x14ac:dyDescent="0.25">
      <c r="A41" s="112" t="s">
        <v>36</v>
      </c>
      <c r="B41" s="19" t="s">
        <v>16</v>
      </c>
      <c r="C41" s="20" t="s">
        <v>46</v>
      </c>
      <c r="D41" s="20" t="s">
        <v>60</v>
      </c>
      <c r="E41" s="12" t="s">
        <v>61</v>
      </c>
      <c r="F41" s="13">
        <v>14.23</v>
      </c>
      <c r="G41" s="13">
        <f>415*0.25+162*0.1</f>
        <v>119.95</v>
      </c>
      <c r="H41" s="13">
        <f>7.21*0.25+2.6*0.1</f>
        <v>2.0625</v>
      </c>
      <c r="I41" s="13">
        <f>19.68*0.25+15*0.1</f>
        <v>6.42</v>
      </c>
      <c r="J41" s="14">
        <f>43.73*0.25+3.6*0.1</f>
        <v>11.292499999999999</v>
      </c>
    </row>
    <row r="42" spans="1:10" x14ac:dyDescent="0.25">
      <c r="A42" s="91"/>
      <c r="B42" s="6" t="s">
        <v>13</v>
      </c>
      <c r="C42" s="51" t="s">
        <v>49</v>
      </c>
      <c r="D42" s="55" t="s">
        <v>50</v>
      </c>
      <c r="E42" s="15">
        <v>25</v>
      </c>
      <c r="F42" s="5">
        <v>12.49</v>
      </c>
      <c r="G42" s="52">
        <f>132.2/75*25</f>
        <v>44.066666666666663</v>
      </c>
      <c r="H42" s="53">
        <f>9.5/75*25</f>
        <v>3.166666666666667</v>
      </c>
      <c r="I42" s="53">
        <f>5.6/75*25</f>
        <v>1.8666666666666665</v>
      </c>
      <c r="J42" s="54">
        <f>10.9/75*25</f>
        <v>3.6333333333333337</v>
      </c>
    </row>
    <row r="43" spans="1:10" ht="15.75" x14ac:dyDescent="0.25">
      <c r="A43" s="91"/>
      <c r="B43" s="6" t="s">
        <v>17</v>
      </c>
      <c r="C43" s="45" t="s">
        <v>43</v>
      </c>
      <c r="D43" s="46" t="s">
        <v>44</v>
      </c>
      <c r="E43" s="15">
        <v>120</v>
      </c>
      <c r="F43" s="5">
        <v>13.94</v>
      </c>
      <c r="G43" s="44">
        <f>915*0.12</f>
        <v>109.8</v>
      </c>
      <c r="H43" s="44">
        <f>20.43*0.12</f>
        <v>2.4516</v>
      </c>
      <c r="I43" s="44">
        <f>32.01*0.12</f>
        <v>3.8411999999999997</v>
      </c>
      <c r="J43" s="47">
        <f>136.26*0.12</f>
        <v>16.351199999999999</v>
      </c>
    </row>
    <row r="44" spans="1:10" x14ac:dyDescent="0.25">
      <c r="A44" s="91"/>
      <c r="B44" s="6" t="s">
        <v>18</v>
      </c>
      <c r="C44" s="4" t="s">
        <v>19</v>
      </c>
      <c r="D44" s="4" t="s">
        <v>20</v>
      </c>
      <c r="E44" s="15" t="s">
        <v>33</v>
      </c>
      <c r="F44" s="5">
        <v>3.07</v>
      </c>
      <c r="G44" s="5">
        <v>60</v>
      </c>
      <c r="H44" s="5">
        <v>7.0000000000000007E-2</v>
      </c>
      <c r="I44" s="5">
        <v>0.02</v>
      </c>
      <c r="J44" s="7">
        <v>15</v>
      </c>
    </row>
    <row r="45" spans="1:10" ht="15.75" thickBot="1" x14ac:dyDescent="0.3">
      <c r="A45" s="91"/>
      <c r="B45" s="8" t="s">
        <v>14</v>
      </c>
      <c r="C45" s="9" t="s">
        <v>31</v>
      </c>
      <c r="D45" s="9" t="s">
        <v>32</v>
      </c>
      <c r="E45" s="16">
        <v>34</v>
      </c>
      <c r="F45" s="17">
        <v>1.27</v>
      </c>
      <c r="G45" s="17">
        <f>229.7*0.34</f>
        <v>78.097999999999999</v>
      </c>
      <c r="H45" s="10">
        <f>6.7*0.34</f>
        <v>2.278</v>
      </c>
      <c r="I45" s="10">
        <f>1.1*0.34</f>
        <v>0.37400000000000005</v>
      </c>
      <c r="J45" s="11">
        <f>48.3*0.34</f>
        <v>16.422000000000001</v>
      </c>
    </row>
    <row r="46" spans="1:10" ht="16.5" thickBot="1" x14ac:dyDescent="0.3">
      <c r="A46" s="81" t="s">
        <v>15</v>
      </c>
      <c r="B46" s="102"/>
      <c r="C46" s="102"/>
      <c r="D46" s="102"/>
      <c r="E46" s="103"/>
      <c r="F46" s="26">
        <f>SUM(F41:F45)</f>
        <v>45</v>
      </c>
      <c r="G46" s="26">
        <f>SUM(G41:G45)</f>
        <v>411.91466666666668</v>
      </c>
      <c r="H46" s="26">
        <f>SUM(H41:H45)</f>
        <v>10.028766666666668</v>
      </c>
      <c r="I46" s="26">
        <f>SUM(I41:I45)</f>
        <v>12.521866666666666</v>
      </c>
      <c r="J46" s="26">
        <f>SUM(J41:J45)</f>
        <v>62.699033333333333</v>
      </c>
    </row>
    <row r="47" spans="1:10" ht="15.75" x14ac:dyDescent="0.25">
      <c r="A47" s="91" t="s">
        <v>55</v>
      </c>
      <c r="B47" s="58" t="s">
        <v>30</v>
      </c>
      <c r="C47" s="40" t="s">
        <v>48</v>
      </c>
      <c r="D47" s="40" t="s">
        <v>53</v>
      </c>
      <c r="E47" s="12">
        <v>10</v>
      </c>
      <c r="F47" s="13">
        <v>7.45</v>
      </c>
      <c r="G47" s="13">
        <f>592*0.008</f>
        <v>4.7359999999999998</v>
      </c>
      <c r="H47" s="13">
        <f>28.85*0.008</f>
        <v>0.23080000000000001</v>
      </c>
      <c r="I47" s="13">
        <f>27.24*0.008</f>
        <v>0.21792</v>
      </c>
      <c r="J47" s="14">
        <f>57.86*0.008</f>
        <v>0.46288000000000001</v>
      </c>
    </row>
    <row r="48" spans="1:10" s="57" customFormat="1" ht="30" x14ac:dyDescent="0.25">
      <c r="A48" s="91"/>
      <c r="B48" s="6" t="s">
        <v>16</v>
      </c>
      <c r="C48" s="4" t="s">
        <v>46</v>
      </c>
      <c r="D48" s="4" t="s">
        <v>60</v>
      </c>
      <c r="E48" s="15" t="s">
        <v>61</v>
      </c>
      <c r="F48" s="5">
        <v>14.23</v>
      </c>
      <c r="G48" s="5">
        <f>415*0.25+162*0.1</f>
        <v>119.95</v>
      </c>
      <c r="H48" s="5">
        <f>7.21*0.25+2.6*0.1</f>
        <v>2.0625</v>
      </c>
      <c r="I48" s="5">
        <f>19.68*0.25+15*0.1</f>
        <v>6.42</v>
      </c>
      <c r="J48" s="7">
        <f>43.73*0.25+3.6*0.1</f>
        <v>11.292499999999999</v>
      </c>
    </row>
    <row r="49" spans="1:10" x14ac:dyDescent="0.25">
      <c r="A49" s="91"/>
      <c r="B49" s="6" t="s">
        <v>13</v>
      </c>
      <c r="C49" s="51" t="s">
        <v>49</v>
      </c>
      <c r="D49" s="55" t="s">
        <v>50</v>
      </c>
      <c r="E49" s="15">
        <v>75</v>
      </c>
      <c r="F49" s="5">
        <v>37.479999999999997</v>
      </c>
      <c r="G49" s="52">
        <f>132.2/75*75</f>
        <v>132.19999999999999</v>
      </c>
      <c r="H49" s="53">
        <f>9.5/75*75</f>
        <v>9.5</v>
      </c>
      <c r="I49" s="53">
        <f>5.6/75*75</f>
        <v>5.6</v>
      </c>
      <c r="J49" s="54">
        <f>10.9/75*75</f>
        <v>10.9</v>
      </c>
    </row>
    <row r="50" spans="1:10" ht="15.75" x14ac:dyDescent="0.25">
      <c r="A50" s="91"/>
      <c r="B50" s="6" t="s">
        <v>17</v>
      </c>
      <c r="C50" s="45" t="s">
        <v>43</v>
      </c>
      <c r="D50" s="46" t="s">
        <v>44</v>
      </c>
      <c r="E50" s="15">
        <v>120</v>
      </c>
      <c r="F50" s="5">
        <v>13.94</v>
      </c>
      <c r="G50" s="44">
        <f>915*0.12</f>
        <v>109.8</v>
      </c>
      <c r="H50" s="44">
        <f>20.43*0.12</f>
        <v>2.4516</v>
      </c>
      <c r="I50" s="44">
        <f>32.01*0.12</f>
        <v>3.8411999999999997</v>
      </c>
      <c r="J50" s="47">
        <f>136.26*0.12</f>
        <v>16.351199999999999</v>
      </c>
    </row>
    <row r="51" spans="1:10" x14ac:dyDescent="0.25">
      <c r="A51" s="91"/>
      <c r="B51" s="6" t="s">
        <v>18</v>
      </c>
      <c r="C51" s="4" t="s">
        <v>19</v>
      </c>
      <c r="D51" s="4" t="s">
        <v>20</v>
      </c>
      <c r="E51" s="15" t="s">
        <v>33</v>
      </c>
      <c r="F51" s="5">
        <v>3.07</v>
      </c>
      <c r="G51" s="5">
        <v>60</v>
      </c>
      <c r="H51" s="5">
        <v>7.0000000000000007E-2</v>
      </c>
      <c r="I51" s="5">
        <v>0.02</v>
      </c>
      <c r="J51" s="7">
        <v>15</v>
      </c>
    </row>
    <row r="52" spans="1:10" ht="15.75" thickBot="1" x14ac:dyDescent="0.3">
      <c r="A52" s="91"/>
      <c r="B52" s="8" t="s">
        <v>14</v>
      </c>
      <c r="C52" s="9" t="s">
        <v>31</v>
      </c>
      <c r="D52" s="9" t="s">
        <v>32</v>
      </c>
      <c r="E52" s="16">
        <v>22</v>
      </c>
      <c r="F52" s="17">
        <v>0.83</v>
      </c>
      <c r="G52" s="17">
        <f>229.7*0.155</f>
        <v>35.603499999999997</v>
      </c>
      <c r="H52" s="10">
        <f>6.7*0.155</f>
        <v>1.0385</v>
      </c>
      <c r="I52" s="10">
        <f>1.1*0.155</f>
        <v>0.17050000000000001</v>
      </c>
      <c r="J52" s="11">
        <f>48.3*0.155</f>
        <v>7.4864999999999995</v>
      </c>
    </row>
    <row r="53" spans="1:10" ht="16.5" thickBot="1" x14ac:dyDescent="0.3">
      <c r="A53" s="81" t="s">
        <v>15</v>
      </c>
      <c r="B53" s="99"/>
      <c r="C53" s="99"/>
      <c r="D53" s="99"/>
      <c r="E53" s="113"/>
      <c r="F53" s="56">
        <f>SUM(F47:F52)</f>
        <v>76.999999999999986</v>
      </c>
      <c r="G53" s="56">
        <f>SUM(G47:G52)</f>
        <v>462.28949999999998</v>
      </c>
      <c r="H53" s="56">
        <f>SUM(H47:H52)</f>
        <v>15.353400000000001</v>
      </c>
      <c r="I53" s="56">
        <f>SUM(I47:I52)</f>
        <v>16.26962</v>
      </c>
      <c r="J53" s="56">
        <f>SUM(J47:J52)</f>
        <v>61.493079999999999</v>
      </c>
    </row>
    <row r="54" spans="1:10" x14ac:dyDescent="0.25"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5.75" thickBot="1" x14ac:dyDescent="0.3">
      <c r="A55" s="114" t="s">
        <v>25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5.75" x14ac:dyDescent="0.25">
      <c r="A56" s="68"/>
      <c r="B56" s="21"/>
      <c r="C56" s="109" t="s">
        <v>23</v>
      </c>
      <c r="D56" s="109"/>
      <c r="E56" s="50"/>
      <c r="F56" s="50"/>
      <c r="G56" s="110"/>
      <c r="H56" s="110"/>
      <c r="I56" s="110"/>
      <c r="J56" s="110"/>
    </row>
    <row r="57" spans="1:10" x14ac:dyDescent="0.25">
      <c r="A57" s="65"/>
      <c r="B57" s="1"/>
      <c r="C57" s="1"/>
      <c r="D57" s="1"/>
      <c r="E57" s="50"/>
      <c r="F57" s="50"/>
      <c r="G57" s="50"/>
      <c r="H57" s="50"/>
      <c r="I57" s="50"/>
      <c r="J57" s="50"/>
    </row>
    <row r="58" spans="1:10" x14ac:dyDescent="0.25">
      <c r="A58" s="111" t="s">
        <v>24</v>
      </c>
      <c r="B58" s="111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111" t="s">
        <v>26</v>
      </c>
      <c r="B59" s="111"/>
      <c r="C59" s="50"/>
      <c r="D59" s="50"/>
      <c r="E59" s="50"/>
      <c r="F59" s="50"/>
      <c r="G59" s="50"/>
      <c r="H59" s="50"/>
      <c r="I59" s="50"/>
      <c r="J59" s="50"/>
    </row>
  </sheetData>
  <mergeCells count="25">
    <mergeCell ref="C56:D56"/>
    <mergeCell ref="G56:J56"/>
    <mergeCell ref="A58:B58"/>
    <mergeCell ref="A59:B59"/>
    <mergeCell ref="A41:A45"/>
    <mergeCell ref="A46:E46"/>
    <mergeCell ref="A47:A52"/>
    <mergeCell ref="A53:E53"/>
    <mergeCell ref="A55:J55"/>
    <mergeCell ref="A32:E32"/>
    <mergeCell ref="A33:A36"/>
    <mergeCell ref="A37:E37"/>
    <mergeCell ref="A38:A39"/>
    <mergeCell ref="A40:E40"/>
    <mergeCell ref="B1:C1"/>
    <mergeCell ref="G1:J1"/>
    <mergeCell ref="A8:E8"/>
    <mergeCell ref="A9:A13"/>
    <mergeCell ref="A14:E14"/>
    <mergeCell ref="A22:E22"/>
    <mergeCell ref="A3:A7"/>
    <mergeCell ref="A15:A21"/>
    <mergeCell ref="A27:A31"/>
    <mergeCell ref="A23:A25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2023-03-30T11:33:33Z</dcterms:modified>
</cp:coreProperties>
</file>